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0110" windowHeight="6540" tabRatio="905" activeTab="11"/>
  </bookViews>
  <sheets>
    <sheet name="AA(8fin)" sheetId="1" r:id="rId1"/>
    <sheet name="AB(5)" sheetId="2" r:id="rId2"/>
    <sheet name="AC(3)" sheetId="3" r:id="rId3"/>
    <sheet name="AC" sheetId="4" r:id="rId4"/>
    <sheet name="PA(4fin)" sheetId="5" r:id="rId5"/>
    <sheet name="PB(4)" sheetId="6" r:id="rId6"/>
    <sheet name="PC(4)" sheetId="7" r:id="rId7"/>
    <sheet name="BA(8fin)" sheetId="8" r:id="rId8"/>
    <sheet name="BB(4)" sheetId="9" r:id="rId9"/>
    <sheet name="BC(4)" sheetId="10" r:id="rId10"/>
    <sheet name="BD(4)" sheetId="11" r:id="rId11"/>
    <sheet name="BE(4)" sheetId="12" r:id="rId12"/>
    <sheet name="CA(8fin)" sheetId="13" r:id="rId13"/>
    <sheet name="CB(4)" sheetId="14" r:id="rId14"/>
    <sheet name="CC(4)" sheetId="15" r:id="rId15"/>
    <sheet name="CD(4)" sheetId="16" r:id="rId16"/>
    <sheet name="FA(3fin)" sheetId="17" r:id="rId17"/>
    <sheet name="FA" sheetId="18" r:id="rId18"/>
    <sheet name="FX(4fin)" sheetId="19" r:id="rId19"/>
    <sheet name="FY(6)" sheetId="20" r:id="rId20"/>
    <sheet name="FC(4fin)" sheetId="21" r:id="rId21"/>
  </sheets>
  <definedNames>
    <definedName name="_xlnm.Print_Area" localSheetId="0">'AA(8fin)'!$C$4:$S$74</definedName>
    <definedName name="_xlnm.Print_Area" localSheetId="1">'AB(5)'!$C$4:$S$45</definedName>
    <definedName name="_xlnm.Print_Area" localSheetId="3">'AC'!$C$19:$V$30</definedName>
    <definedName name="_xlnm.Print_Area" localSheetId="2">'AC(3)'!$C$4:$Q$48</definedName>
    <definedName name="_xlnm.Print_Area" localSheetId="7">'BA(8fin)'!$C$4:$S$75</definedName>
    <definedName name="_xlnm.Print_Area" localSheetId="8">'BB(4)'!$C$4:$S$44</definedName>
    <definedName name="_xlnm.Print_Area" localSheetId="9">'BC(4)'!$C$4:$S$44</definedName>
    <definedName name="_xlnm.Print_Area" localSheetId="10">'BD(4)'!$C$4:$S$44</definedName>
    <definedName name="_xlnm.Print_Area" localSheetId="11">'BE(4)'!$C$4:$S$44</definedName>
    <definedName name="_xlnm.Print_Area" localSheetId="12">'CA(8fin)'!$C$4:$S$75</definedName>
    <definedName name="_xlnm.Print_Area" localSheetId="13">'CB(4)'!$C$4:$S$44</definedName>
    <definedName name="_xlnm.Print_Area" localSheetId="14">'CC(4)'!$C$4:$S$44</definedName>
    <definedName name="_xlnm.Print_Area" localSheetId="15">'CD(4)'!$C$4:$S$44</definedName>
    <definedName name="_xlnm.Print_Area" localSheetId="17">'FA'!$C$16:$V$27</definedName>
    <definedName name="_xlnm.Print_Area" localSheetId="16">'FA(3fin)'!$C$4:$Q$38</definedName>
    <definedName name="_xlnm.Print_Area" localSheetId="20">'FC(4fin)'!$C$4:$S$48</definedName>
    <definedName name="_xlnm.Print_Area" localSheetId="18">'FX(4fin)'!$C$4:$S$48</definedName>
    <definedName name="_xlnm.Print_Area" localSheetId="19">'FY(6)'!$C$4:$S$55</definedName>
    <definedName name="_xlnm.Print_Area" localSheetId="4">'PA(4fin)'!$C$4:$S$47</definedName>
    <definedName name="_xlnm.Print_Area" localSheetId="5">'PB(4)'!$C$4:$S$44</definedName>
    <definedName name="_xlnm.Print_Area" localSheetId="6">'PC(4)'!$C$4:$S$44</definedName>
  </definedNames>
  <calcPr fullCalcOnLoad="1"/>
</workbook>
</file>

<file path=xl/sharedStrings.xml><?xml version="1.0" encoding="utf-8"?>
<sst xmlns="http://schemas.openxmlformats.org/spreadsheetml/2006/main" count="1853" uniqueCount="263">
  <si>
    <t xml:space="preserve">deze kolommen </t>
  </si>
  <si>
    <t xml:space="preserve">Vooraf invullen: </t>
  </si>
  <si>
    <t>Namen/city/country van de teams voor beide poules</t>
  </si>
  <si>
    <t>"rank" moet met</t>
  </si>
  <si>
    <t>komen niet in het</t>
  </si>
  <si>
    <t>Alle rode cellen in de linkerkantlijn</t>
  </si>
  <si>
    <t>de hand worden</t>
  </si>
  <si>
    <t>boekje</t>
  </si>
  <si>
    <t>De juiste vervolgschema's voor Zaterdag, onderaan de blz.</t>
  </si>
  <si>
    <t>vastgesteld (1 - 6)</t>
  </si>
  <si>
    <t>Level</t>
  </si>
  <si>
    <t>Women</t>
  </si>
  <si>
    <t>A</t>
  </si>
  <si>
    <t>Matches are played according to best of three sets:</t>
  </si>
  <si>
    <t>Venue</t>
  </si>
  <si>
    <t>Olympos</t>
  </si>
  <si>
    <t>1st and 2nd set: 25 (at most 27) points; 3rd set: 15 (at most 17) points.</t>
  </si>
  <si>
    <t>Court</t>
  </si>
  <si>
    <t>Time</t>
  </si>
  <si>
    <t>1st round</t>
  </si>
  <si>
    <t>(3)</t>
  </si>
  <si>
    <t>(2)</t>
  </si>
  <si>
    <t xml:space="preserve"> (1)</t>
  </si>
  <si>
    <t>Herhaling van de teamnames nodig voor het verwerken van de rank onderaan de pagina</t>
  </si>
  <si>
    <t>TOSS</t>
  </si>
  <si>
    <t>SCORE</t>
  </si>
  <si>
    <t>time/round</t>
  </si>
  <si>
    <t>Team</t>
  </si>
  <si>
    <t>City</t>
  </si>
  <si>
    <t>Country</t>
  </si>
  <si>
    <t>Game points</t>
  </si>
  <si>
    <t>Set points</t>
  </si>
  <si>
    <t>Rank</t>
  </si>
  <si>
    <t xml:space="preserve">Referee </t>
  </si>
  <si>
    <t xml:space="preserve">kop=+1 </t>
  </si>
  <si>
    <t>points/set</t>
  </si>
  <si>
    <t>1x</t>
  </si>
  <si>
    <t>complete</t>
  </si>
  <si>
    <t>tm, ct, cnt</t>
  </si>
  <si>
    <t>1st Set</t>
  </si>
  <si>
    <t>2nd Set</t>
  </si>
  <si>
    <t>3rd Set</t>
  </si>
  <si>
    <t>IN SETS</t>
  </si>
  <si>
    <t>Round</t>
  </si>
  <si>
    <t>No</t>
  </si>
  <si>
    <t>Home</t>
  </si>
  <si>
    <t>Guest</t>
  </si>
  <si>
    <t>Referee</t>
  </si>
  <si>
    <t>H</t>
  </si>
  <si>
    <t>G</t>
  </si>
  <si>
    <t>res. Ref.</t>
  </si>
  <si>
    <t>End</t>
  </si>
  <si>
    <t>FA</t>
  </si>
  <si>
    <t>&lt;</t>
  </si>
  <si>
    <t>^</t>
  </si>
  <si>
    <t>COPY FROM CORRESPONDING POULE SCHEMES!!!</t>
  </si>
  <si>
    <t>Preliminary results</t>
  </si>
  <si>
    <t>Final results</t>
  </si>
  <si>
    <t>Saldo</t>
  </si>
  <si>
    <t>U1</t>
  </si>
  <si>
    <t>U3</t>
  </si>
  <si>
    <t>U2</t>
  </si>
  <si>
    <t>1 - 3 finals</t>
  </si>
  <si>
    <t>1x (0x)</t>
  </si>
  <si>
    <t>gold</t>
  </si>
  <si>
    <t>silver</t>
  </si>
  <si>
    <t>bronze</t>
  </si>
  <si>
    <t>B</t>
  </si>
  <si>
    <t>FX</t>
  </si>
  <si>
    <t>Price ceremony at 18:00 on court 2.</t>
  </si>
  <si>
    <t>tijd &amp;</t>
  </si>
  <si>
    <t>veld !!!</t>
  </si>
  <si>
    <t>Men</t>
  </si>
  <si>
    <t>C</t>
  </si>
  <si>
    <t>OSG</t>
  </si>
  <si>
    <t>CA</t>
  </si>
  <si>
    <t>CB</t>
  </si>
  <si>
    <t>CC</t>
  </si>
  <si>
    <t>Points</t>
  </si>
  <si>
    <t>Won</t>
  </si>
  <si>
    <t>Lost</t>
  </si>
  <si>
    <t>B+</t>
  </si>
  <si>
    <t>PA</t>
  </si>
  <si>
    <t>FC</t>
  </si>
  <si>
    <t>1 - 4 finals</t>
  </si>
  <si>
    <t>1 - 8 finals</t>
  </si>
  <si>
    <t>BA</t>
  </si>
  <si>
    <t>nrs</t>
  </si>
  <si>
    <t>AA</t>
  </si>
  <si>
    <t>BC</t>
  </si>
  <si>
    <t>R5</t>
  </si>
  <si>
    <t>BD</t>
  </si>
  <si>
    <t>BB</t>
  </si>
  <si>
    <t>PB</t>
  </si>
  <si>
    <t>PC</t>
  </si>
  <si>
    <t>FY</t>
  </si>
  <si>
    <t>AB</t>
  </si>
  <si>
    <t>Finals Men A, Men B+ and Women A at 15:30 &amp; 16:45 on courts 1, 3, 4.</t>
  </si>
  <si>
    <t>Finals Men B, Men C, Women B and Women C at 12:30 &amp; 13:45 on courts 1, 3, 5, 6.</t>
  </si>
  <si>
    <t>BE</t>
  </si>
  <si>
    <t>CD</t>
  </si>
  <si>
    <t>Group</t>
  </si>
  <si>
    <t>Official</t>
  </si>
  <si>
    <t>AC</t>
  </si>
  <si>
    <t>team, city,</t>
  </si>
  <si>
    <t>2x (1x)</t>
  </si>
  <si>
    <t>country</t>
  </si>
  <si>
    <t>2x (afw)</t>
  </si>
  <si>
    <t>groups AA, AB</t>
  </si>
  <si>
    <t>"scheme</t>
  </si>
  <si>
    <t>on Saturd"</t>
  </si>
  <si>
    <t>see Group AC</t>
  </si>
  <si>
    <t>See Group AC</t>
  </si>
  <si>
    <t>-</t>
  </si>
  <si>
    <t>wordt automatisch getransporteerd naar AC(3) (het schema) en AC (de spreadsheet)</t>
  </si>
  <si>
    <t>HOT Helsinki</t>
  </si>
  <si>
    <t>Helsinki</t>
  </si>
  <si>
    <t>Finland</t>
  </si>
  <si>
    <t>AMBI</t>
  </si>
  <si>
    <t>Amsterdam</t>
  </si>
  <si>
    <t>Netherlands</t>
  </si>
  <si>
    <t>Rosa Löwen</t>
  </si>
  <si>
    <t>Leipzig</t>
  </si>
  <si>
    <t>Germany</t>
  </si>
  <si>
    <t>ZLG Old Stars</t>
  </si>
  <si>
    <t>'s-Hertogenbosch</t>
  </si>
  <si>
    <t>Leinebagger</t>
  </si>
  <si>
    <t>Hannover</t>
  </si>
  <si>
    <t>The Best Pratety</t>
  </si>
  <si>
    <t>Praha</t>
  </si>
  <si>
    <t>Czech Republic</t>
  </si>
  <si>
    <t>Rosa Trajectum</t>
  </si>
  <si>
    <t>Maastricht</t>
  </si>
  <si>
    <t>Rotterdam Cabin Boys</t>
  </si>
  <si>
    <t>Rotterdam</t>
  </si>
  <si>
    <t>Schoggi Basel</t>
  </si>
  <si>
    <t>Basel</t>
  </si>
  <si>
    <t>Switzerland</t>
  </si>
  <si>
    <t>Viva Vlerk!</t>
  </si>
  <si>
    <t>Utrecht</t>
  </si>
  <si>
    <t>Lange Poten 2</t>
  </si>
  <si>
    <t>Den Haag</t>
  </si>
  <si>
    <t>Raballder 2</t>
  </si>
  <si>
    <t>Oslo</t>
  </si>
  <si>
    <t>Norway</t>
  </si>
  <si>
    <t>Pratety Praha B+</t>
  </si>
  <si>
    <t>Copacabana</t>
  </si>
  <si>
    <t>Frederiksberg C</t>
  </si>
  <si>
    <t>Denmark</t>
  </si>
  <si>
    <t>Roman Volley White</t>
  </si>
  <si>
    <t>Roma</t>
  </si>
  <si>
    <t>Italy</t>
  </si>
  <si>
    <t>Poison Guys</t>
  </si>
  <si>
    <t>Zaandam</t>
  </si>
  <si>
    <t>SC Janus GayLiga05</t>
  </si>
  <si>
    <t>Köln</t>
  </si>
  <si>
    <t>Lange Poten 1</t>
  </si>
  <si>
    <t>Kayal Royal</t>
  </si>
  <si>
    <t>Berlin</t>
  </si>
  <si>
    <t>Koningin Wilhelmina</t>
  </si>
  <si>
    <t>Delft</t>
  </si>
  <si>
    <t>Netzo 1</t>
  </si>
  <si>
    <t>Goud 1</t>
  </si>
  <si>
    <t>Groningen</t>
  </si>
  <si>
    <t>Mokumer Knapen</t>
  </si>
  <si>
    <t>Tangra</t>
  </si>
  <si>
    <t>Sofiya</t>
  </si>
  <si>
    <t>Bulgaria</t>
  </si>
  <si>
    <t>Artemis</t>
  </si>
  <si>
    <t>Frankfurt</t>
  </si>
  <si>
    <t>Goud Dames 1</t>
  </si>
  <si>
    <t>Absolutely Elfriede</t>
  </si>
  <si>
    <t>Wien</t>
  </si>
  <si>
    <t>Austria</t>
  </si>
  <si>
    <t>Elfen</t>
  </si>
  <si>
    <t>Münster</t>
  </si>
  <si>
    <t>Roman Volley Black</t>
  </si>
  <si>
    <t>Abseitz Stuttgart</t>
  </si>
  <si>
    <t>Arnhem</t>
  </si>
  <si>
    <t>Blood-and-Thunder</t>
  </si>
  <si>
    <t>Düsseldorf</t>
  </si>
  <si>
    <t>Friends</t>
  </si>
  <si>
    <t>Prince Claus</t>
  </si>
  <si>
    <t>Chicago 2006</t>
  </si>
  <si>
    <t>Chicago</t>
  </si>
  <si>
    <t>United States</t>
  </si>
  <si>
    <t>Stockholm Spikers</t>
  </si>
  <si>
    <t>Stockholm</t>
  </si>
  <si>
    <t>Sweden</t>
  </si>
  <si>
    <t>MaltaSwissAustrian Team</t>
  </si>
  <si>
    <t>BGS Poulette</t>
  </si>
  <si>
    <t>Sint-Pieters-Leeuw</t>
  </si>
  <si>
    <t>Belgium</t>
  </si>
  <si>
    <t>Colonian Warmonists</t>
  </si>
  <si>
    <t>Salt &amp; Lemon</t>
  </si>
  <si>
    <t>Netzo Tigers</t>
  </si>
  <si>
    <t>Gay Sporting</t>
  </si>
  <si>
    <t>Tilburg</t>
  </si>
  <si>
    <t>Sexpack</t>
  </si>
  <si>
    <t>Vanlose</t>
  </si>
  <si>
    <t>Montreal 2006</t>
  </si>
  <si>
    <t>Montreal</t>
  </si>
  <si>
    <t>Canada</t>
  </si>
  <si>
    <t>Vorspiel</t>
  </si>
  <si>
    <t>Hup over 't netje</t>
  </si>
  <si>
    <t>Wageningen</t>
  </si>
  <si>
    <t>Nordish by Nature</t>
  </si>
  <si>
    <t>Bremen</t>
  </si>
  <si>
    <t>Prince Bernhard</t>
  </si>
  <si>
    <t>OutBreak</t>
  </si>
  <si>
    <t>Leuven</t>
  </si>
  <si>
    <t>Nijmegen 2000</t>
  </si>
  <si>
    <t>Nijmegen</t>
  </si>
  <si>
    <t>Pink Panther</t>
  </si>
  <si>
    <t>Supremes</t>
  </si>
  <si>
    <t>Copenhagen III</t>
  </si>
  <si>
    <t>Kǿbenhavn</t>
  </si>
  <si>
    <t>Dutchboys 4</t>
  </si>
  <si>
    <t>Rainbow Warriors 1</t>
  </si>
  <si>
    <t>London</t>
  </si>
  <si>
    <t>United Kingdom</t>
  </si>
  <si>
    <t>Fat Cats</t>
  </si>
  <si>
    <t>6 in the city</t>
  </si>
  <si>
    <t>Osnabrück</t>
  </si>
  <si>
    <t>Stockholm City</t>
  </si>
  <si>
    <t>ZLG New Stars</t>
  </si>
  <si>
    <t>Domelfen</t>
  </si>
  <si>
    <t>Nauw Mijt!</t>
  </si>
  <si>
    <t>Netzo Hot</t>
  </si>
  <si>
    <t>Net Even Anders</t>
  </si>
  <si>
    <t>Deventer</t>
  </si>
  <si>
    <t>Lüttje Lage</t>
  </si>
  <si>
    <t>Netzo Free</t>
  </si>
  <si>
    <t>Goud Dames 2</t>
  </si>
  <si>
    <t>ZLG Lady's</t>
  </si>
  <si>
    <t>Inteam</t>
  </si>
  <si>
    <t>Kassel</t>
  </si>
  <si>
    <t>Utrecht Power</t>
  </si>
  <si>
    <t>Condor delle Ande Torino</t>
  </si>
  <si>
    <t>London Spikers</t>
  </si>
  <si>
    <t>Raballder</t>
  </si>
  <si>
    <t>Ech Wel</t>
  </si>
  <si>
    <t>Mai Thai International</t>
  </si>
  <si>
    <t>Hamburg</t>
  </si>
  <si>
    <t>qSport</t>
  </si>
  <si>
    <t>Zagreb</t>
  </si>
  <si>
    <t>Croatia</t>
  </si>
  <si>
    <t>SC AufRuhr</t>
  </si>
  <si>
    <t>Bochum</t>
  </si>
  <si>
    <t>Los Machos</t>
  </si>
  <si>
    <t>Haarlem</t>
  </si>
  <si>
    <t>Gatevolley</t>
  </si>
  <si>
    <t>Milano</t>
  </si>
  <si>
    <t>Bethnal Boomers</t>
  </si>
  <si>
    <t>Queen Juliana</t>
  </si>
  <si>
    <t>Streghe</t>
  </si>
  <si>
    <t>Torino</t>
  </si>
  <si>
    <t>We love Sjoukje D.</t>
  </si>
  <si>
    <t>Bavaria Rosé</t>
  </si>
  <si>
    <t>München</t>
  </si>
  <si>
    <t>Break Out</t>
  </si>
  <si>
    <t>London Tigers</t>
  </si>
  <si>
    <t>SNOR!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</si>
</sst>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26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b/>
      <sz val="10"/>
      <color indexed="2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3" borderId="0" xfId="0" applyFill="1" applyBorder="1" applyAlignment="1">
      <alignment/>
    </xf>
    <xf numFmtId="0" fontId="0" fillId="0" borderId="3" xfId="0" applyBorder="1" applyAlignment="1">
      <alignment horizontal="right"/>
    </xf>
    <xf numFmtId="0" fontId="0" fillId="3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5" xfId="0" applyNumberFormat="1" applyFont="1" applyBorder="1" applyAlignment="1" quotePrefix="1">
      <alignment horizontal="left"/>
    </xf>
    <xf numFmtId="14" fontId="0" fillId="0" borderId="0" xfId="0" applyNumberFormat="1" applyFont="1" applyBorder="1" applyAlignment="1" quotePrefix="1">
      <alignment/>
    </xf>
    <xf numFmtId="20" fontId="0" fillId="0" borderId="5" xfId="0" applyNumberFormat="1" applyBorder="1" applyAlignment="1" quotePrefix="1">
      <alignment horizontal="left"/>
    </xf>
    <xf numFmtId="20" fontId="0" fillId="0" borderId="0" xfId="0" applyNumberFormat="1" applyBorder="1" applyAlignment="1" quotePrefix="1">
      <alignment horizontal="left"/>
    </xf>
    <xf numFmtId="20" fontId="0" fillId="0" borderId="3" xfId="0" applyNumberFormat="1" applyBorder="1" applyAlignment="1" quotePrefix="1">
      <alignment horizontal="left"/>
    </xf>
    <xf numFmtId="0" fontId="0" fillId="0" borderId="3" xfId="0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left"/>
    </xf>
    <xf numFmtId="20" fontId="0" fillId="3" borderId="0" xfId="0" applyNumberForma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2" xfId="0" applyBorder="1" applyAlignment="1" quotePrefix="1">
      <alignment/>
    </xf>
    <xf numFmtId="0" fontId="0" fillId="4" borderId="9" xfId="0" applyFill="1" applyBorder="1" applyAlignment="1">
      <alignment/>
    </xf>
    <xf numFmtId="0" fontId="0" fillId="0" borderId="6" xfId="0" applyFont="1" applyBorder="1" applyAlignment="1">
      <alignment vertical="top" wrapText="1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 quotePrefix="1">
      <alignment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0" borderId="2" xfId="0" applyFont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0" borderId="9" xfId="0" applyBorder="1" applyAlignment="1">
      <alignment/>
    </xf>
    <xf numFmtId="0" fontId="0" fillId="0" borderId="5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0" borderId="11" xfId="0" applyBorder="1" applyAlignment="1">
      <alignment/>
    </xf>
    <xf numFmtId="0" fontId="0" fillId="4" borderId="11" xfId="0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right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/>
    </xf>
    <xf numFmtId="0" fontId="0" fillId="5" borderId="8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0" borderId="7" xfId="0" applyFont="1" applyBorder="1" applyAlignment="1">
      <alignment vertical="top" wrapText="1"/>
    </xf>
    <xf numFmtId="0" fontId="0" fillId="5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1" xfId="0" applyBorder="1" applyAlignment="1">
      <alignment horizontal="right"/>
    </xf>
    <xf numFmtId="20" fontId="0" fillId="0" borderId="4" xfId="0" applyNumberForma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4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 applyAlignment="1" quotePrefix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right"/>
    </xf>
    <xf numFmtId="20" fontId="0" fillId="0" borderId="0" xfId="0" applyNumberFormat="1" applyFill="1" applyBorder="1" applyAlignment="1" quotePrefix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Border="1" applyAlignment="1" quotePrefix="1">
      <alignment horizontal="left"/>
    </xf>
    <xf numFmtId="14" fontId="0" fillId="0" borderId="0" xfId="0" applyNumberFormat="1" applyFont="1" applyBorder="1" applyAlignment="1" quotePrefix="1">
      <alignment vertical="center"/>
    </xf>
    <xf numFmtId="20" fontId="0" fillId="0" borderId="8" xfId="0" applyNumberFormat="1" applyBorder="1" applyAlignment="1" quotePrefix="1">
      <alignment horizontal="left"/>
    </xf>
    <xf numFmtId="20" fontId="0" fillId="0" borderId="0" xfId="0" applyNumberFormat="1" applyBorder="1" applyAlignment="1" quotePrefix="1">
      <alignment horizontal="left" vertical="center"/>
    </xf>
    <xf numFmtId="0" fontId="0" fillId="0" borderId="0" xfId="0" applyFill="1" applyBorder="1" applyAlignment="1">
      <alignment horizontal="left"/>
    </xf>
    <xf numFmtId="20" fontId="0" fillId="0" borderId="0" xfId="0" applyNumberFormat="1" applyFill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 quotePrefix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 quotePrefix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 quotePrefix="1">
      <alignment horizontal="center"/>
    </xf>
    <xf numFmtId="0" fontId="0" fillId="0" borderId="20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21" xfId="0" applyNumberFormat="1" applyBorder="1" applyAlignment="1" quotePrefix="1">
      <alignment horizontal="left"/>
    </xf>
    <xf numFmtId="0" fontId="0" fillId="0" borderId="22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3" borderId="0" xfId="0" applyFont="1" applyFill="1" applyAlignment="1">
      <alignment/>
    </xf>
    <xf numFmtId="20" fontId="0" fillId="0" borderId="0" xfId="0" applyNumberFormat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5" xfId="0" applyFont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20" fontId="6" fillId="0" borderId="4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center" vertical="top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20" fontId="0" fillId="0" borderId="6" xfId="0" applyNumberFormat="1" applyFill="1" applyBorder="1" applyAlignment="1" quotePrefix="1">
      <alignment horizontal="center"/>
    </xf>
    <xf numFmtId="0" fontId="0" fillId="0" borderId="8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/>
    </xf>
    <xf numFmtId="0" fontId="0" fillId="0" borderId="7" xfId="0" applyFont="1" applyFill="1" applyBorder="1" applyAlignment="1">
      <alignment vertical="top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right" vertical="top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Font="1" applyBorder="1" applyAlignment="1" quotePrefix="1">
      <alignment/>
    </xf>
    <xf numFmtId="14" fontId="0" fillId="0" borderId="8" xfId="0" applyNumberFormat="1" applyBorder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Border="1" applyAlignment="1" quotePrefix="1">
      <alignment horizontal="left"/>
    </xf>
    <xf numFmtId="20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5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 quotePrefix="1">
      <alignment horizontal="center"/>
    </xf>
    <xf numFmtId="0" fontId="11" fillId="0" borderId="5" xfId="0" applyFont="1" applyFill="1" applyBorder="1" applyAlignment="1" quotePrefix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Fill="1" applyBorder="1" applyAlignment="1" quotePrefix="1">
      <alignment horizontal="center" vertical="top" wrapText="1"/>
    </xf>
    <xf numFmtId="0" fontId="11" fillId="0" borderId="5" xfId="0" applyFont="1" applyFill="1" applyBorder="1" applyAlignment="1" quotePrefix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9" fillId="4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/>
    </xf>
    <xf numFmtId="0" fontId="9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/>
    </xf>
    <xf numFmtId="0" fontId="0" fillId="0" borderId="8" xfId="0" applyFont="1" applyBorder="1" applyAlignment="1">
      <alignment vertical="top" wrapText="1"/>
    </xf>
    <xf numFmtId="0" fontId="6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12" fillId="4" borderId="2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23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20" fontId="0" fillId="0" borderId="0" xfId="0" applyNumberFormat="1" applyBorder="1" applyAlignment="1" quotePrefix="1">
      <alignment horizontal="left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7" borderId="17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3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0" fillId="7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4" fillId="0" borderId="9" xfId="0" applyFont="1" applyBorder="1" applyAlignment="1">
      <alignment horizontal="center" textRotation="90"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"/>
  <sheetViews>
    <sheetView zoomScale="75" zoomScaleNormal="75" workbookViewId="0" topLeftCell="A27">
      <selection activeCell="M17" sqref="M17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A</v>
      </c>
      <c r="D4" s="261"/>
      <c r="E4" s="261"/>
      <c r="F4" s="262"/>
      <c r="G4" s="5"/>
      <c r="H4" s="17" t="str">
        <f>$A$8&amp;":"</f>
        <v>Venue:</v>
      </c>
      <c r="I4" s="6" t="str">
        <f>$B$8</f>
        <v>Olympos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12</v>
      </c>
      <c r="C5" s="263"/>
      <c r="D5" s="264"/>
      <c r="E5" s="264"/>
      <c r="F5" s="265"/>
      <c r="G5" s="10"/>
      <c r="H5" s="19" t="str">
        <f>$A$9&amp;":"</f>
        <v>Court:</v>
      </c>
      <c r="I5" s="20" t="str">
        <f>$B$9&amp;" / "&amp;$B$9+1</f>
        <v>7 / 8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88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0.4861111111111111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">
        <v>85</v>
      </c>
      <c r="D7" s="267"/>
      <c r="E7" s="267"/>
      <c r="F7" s="268"/>
      <c r="G7" s="140"/>
      <c r="H7" s="25" t="str">
        <f>"Each match (except finals) consists of 2 sets of at most "&amp;$B$13&amp;" points."</f>
        <v>Each match (except finals)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15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7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0.4861111111111111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5</v>
      </c>
      <c r="C11" s="272" t="str">
        <f>$A$6&amp;" "&amp;$B$6</f>
        <v>Group AA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96" t="s">
        <v>27</v>
      </c>
      <c r="H12" s="157" t="s">
        <v>28</v>
      </c>
      <c r="I12" s="50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156"/>
      <c r="G13" s="32" t="s">
        <v>176</v>
      </c>
      <c r="H13" s="5" t="s">
        <v>150</v>
      </c>
      <c r="I13" s="6" t="s">
        <v>151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157"/>
      <c r="G14" s="40" t="s">
        <v>177</v>
      </c>
      <c r="H14" s="10" t="s">
        <v>178</v>
      </c>
      <c r="I14" s="11" t="s">
        <v>120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157"/>
      <c r="G15" s="40" t="s">
        <v>179</v>
      </c>
      <c r="H15" s="10" t="s">
        <v>180</v>
      </c>
      <c r="I15" s="11" t="s">
        <v>123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2.75">
      <c r="B16" s="3"/>
      <c r="C16" s="40"/>
      <c r="D16" s="10"/>
      <c r="E16" s="10"/>
      <c r="F16" s="157"/>
      <c r="G16" s="40" t="s">
        <v>181</v>
      </c>
      <c r="H16" s="10" t="s">
        <v>139</v>
      </c>
      <c r="I16" s="11" t="s">
        <v>120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2:21" ht="12.75">
      <c r="B17" s="3"/>
      <c r="C17" s="40"/>
      <c r="D17" s="10"/>
      <c r="E17" s="10"/>
      <c r="F17" s="157"/>
      <c r="G17" s="40" t="s">
        <v>182</v>
      </c>
      <c r="H17" s="10" t="s">
        <v>160</v>
      </c>
      <c r="I17" s="11" t="s">
        <v>120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</row>
    <row r="18" spans="2:21" ht="12.75">
      <c r="B18" s="3"/>
      <c r="C18" s="40"/>
      <c r="D18" s="10"/>
      <c r="E18" s="10"/>
      <c r="F18" s="157"/>
      <c r="G18" s="40" t="s">
        <v>238</v>
      </c>
      <c r="H18" s="10" t="s">
        <v>219</v>
      </c>
      <c r="I18" s="11" t="s">
        <v>220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</row>
    <row r="19" spans="2:21" ht="12.75">
      <c r="B19" s="3"/>
      <c r="C19" s="40"/>
      <c r="D19" s="10"/>
      <c r="E19" s="10"/>
      <c r="F19" s="157"/>
      <c r="G19" s="40" t="s">
        <v>239</v>
      </c>
      <c r="H19" s="10" t="s">
        <v>219</v>
      </c>
      <c r="I19" s="11" t="s">
        <v>220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3:21" ht="12.75">
      <c r="C20" s="57"/>
      <c r="D20" s="58"/>
      <c r="E20" s="14"/>
      <c r="F20" s="38"/>
      <c r="G20" s="57" t="s">
        <v>240</v>
      </c>
      <c r="H20" s="14" t="s">
        <v>143</v>
      </c>
      <c r="I20" s="15" t="s">
        <v>144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3:39" s="65" customFormat="1" ht="12.75">
      <c r="C21" s="19"/>
      <c r="D21" s="66"/>
      <c r="E21" s="66"/>
      <c r="F21" s="67"/>
      <c r="G21" s="68"/>
      <c r="H21" s="66"/>
      <c r="I21" s="66"/>
      <c r="J21" s="69"/>
      <c r="K21" s="69"/>
      <c r="L21" s="69"/>
      <c r="M21" s="69"/>
      <c r="N21" s="69"/>
      <c r="O21" s="69"/>
      <c r="P21" s="69"/>
      <c r="Q21" s="19"/>
      <c r="AA21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70"/>
    </row>
    <row r="22" spans="3:39" s="65" customFormat="1" ht="12.75">
      <c r="C22" s="19"/>
      <c r="D22" s="66"/>
      <c r="E22" s="66"/>
      <c r="F22" s="67"/>
      <c r="G22" s="68"/>
      <c r="H22" s="66"/>
      <c r="I22" s="66"/>
      <c r="J22" s="69"/>
      <c r="K22" s="69"/>
      <c r="L22" s="69"/>
      <c r="M22" s="69"/>
      <c r="N22" s="69"/>
      <c r="O22" s="69"/>
      <c r="P22" s="69"/>
      <c r="Q22" s="1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70"/>
    </row>
    <row r="23" spans="3:35" ht="12.75">
      <c r="C23" s="32"/>
      <c r="D23" s="5"/>
      <c r="E23" s="5"/>
      <c r="F23" s="5"/>
      <c r="G23" s="5"/>
      <c r="H23" s="5"/>
      <c r="I23" s="6"/>
      <c r="J23" s="249" t="s">
        <v>39</v>
      </c>
      <c r="K23" s="250"/>
      <c r="L23" s="249" t="s">
        <v>40</v>
      </c>
      <c r="M23" s="250"/>
      <c r="N23" s="249" t="s">
        <v>78</v>
      </c>
      <c r="O23" s="250"/>
      <c r="P23" s="249" t="s">
        <v>31</v>
      </c>
      <c r="Q23" s="250"/>
      <c r="R23" s="32"/>
      <c r="S23" s="6"/>
      <c r="T23" s="249" t="s">
        <v>39</v>
      </c>
      <c r="U23" s="250"/>
      <c r="V23" s="249" t="s">
        <v>40</v>
      </c>
      <c r="W23" s="250"/>
      <c r="X23" s="249" t="s">
        <v>24</v>
      </c>
      <c r="Y23" s="250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3:25" ht="12.75">
      <c r="C24" s="73" t="s">
        <v>18</v>
      </c>
      <c r="D24" s="74" t="s">
        <v>43</v>
      </c>
      <c r="E24" s="74" t="s">
        <v>17</v>
      </c>
      <c r="F24" s="75" t="s">
        <v>44</v>
      </c>
      <c r="G24" s="76" t="s">
        <v>45</v>
      </c>
      <c r="H24" s="77" t="s">
        <v>46</v>
      </c>
      <c r="I24" s="78" t="s">
        <v>47</v>
      </c>
      <c r="J24" s="79" t="s">
        <v>48</v>
      </c>
      <c r="K24" s="80" t="s">
        <v>49</v>
      </c>
      <c r="L24" s="79" t="s">
        <v>48</v>
      </c>
      <c r="M24" s="80" t="s">
        <v>49</v>
      </c>
      <c r="N24" s="79" t="s">
        <v>48</v>
      </c>
      <c r="O24" s="80" t="s">
        <v>49</v>
      </c>
      <c r="P24" s="81" t="s">
        <v>48</v>
      </c>
      <c r="Q24" s="82" t="s">
        <v>49</v>
      </c>
      <c r="R24" s="57" t="s">
        <v>79</v>
      </c>
      <c r="S24" s="15" t="s">
        <v>80</v>
      </c>
      <c r="T24" s="79" t="s">
        <v>48</v>
      </c>
      <c r="U24" s="80" t="s">
        <v>49</v>
      </c>
      <c r="V24" s="79" t="s">
        <v>48</v>
      </c>
      <c r="W24" s="80" t="s">
        <v>49</v>
      </c>
      <c r="X24" s="79" t="s">
        <v>48</v>
      </c>
      <c r="Y24" s="80" t="s">
        <v>49</v>
      </c>
    </row>
    <row r="25" spans="3:25" ht="12.75">
      <c r="C25" s="71"/>
      <c r="D25" s="25"/>
      <c r="E25" s="25"/>
      <c r="F25" s="25"/>
      <c r="G25" s="5"/>
      <c r="H25" s="5"/>
      <c r="I25" s="6"/>
      <c r="J25" s="71"/>
      <c r="K25" s="72"/>
      <c r="L25" s="71"/>
      <c r="M25" s="72"/>
      <c r="N25" s="83"/>
      <c r="O25" s="17"/>
      <c r="P25" s="71"/>
      <c r="Q25" s="72"/>
      <c r="R25" s="32"/>
      <c r="S25" s="6"/>
      <c r="T25" s="32"/>
      <c r="U25" s="6"/>
      <c r="V25" s="32"/>
      <c r="W25" s="6"/>
      <c r="X25" s="40"/>
      <c r="Y25" s="11"/>
    </row>
    <row r="26" spans="3:25" ht="12.75">
      <c r="C26" s="84">
        <f>$B$10+(D26-$B$11)*($B$12/60/24+TIME(0,5,0))</f>
        <v>0.4861111111111111</v>
      </c>
      <c r="D26" s="85">
        <f>$B$11</f>
        <v>5</v>
      </c>
      <c r="E26" s="85">
        <f>$B$9</f>
        <v>7</v>
      </c>
      <c r="F26" s="85">
        <f>$E26+$D26*100</f>
        <v>507</v>
      </c>
      <c r="G26" s="86" t="str">
        <f>G13</f>
        <v>Roman Volley Black</v>
      </c>
      <c r="H26" s="86" t="str">
        <f>G20</f>
        <v>Raballder</v>
      </c>
      <c r="I26" s="87" t="str">
        <f>G16</f>
        <v>Friends</v>
      </c>
      <c r="J26" s="88"/>
      <c r="K26" s="87"/>
      <c r="L26" s="88"/>
      <c r="M26" s="87"/>
      <c r="N26" s="188">
        <f>SUM(J26,L26)</f>
        <v>0</v>
      </c>
      <c r="O26" s="189">
        <f>SUM(K26,M26)</f>
        <v>0</v>
      </c>
      <c r="P26" s="190">
        <f>SUM(T26,V26)</f>
        <v>2</v>
      </c>
      <c r="Q26" s="191">
        <f>SUM(U26,W26)</f>
        <v>2</v>
      </c>
      <c r="R26" s="40" t="str">
        <f>IF(P26&gt;Q26,G26,IF(P26&lt;Q26,H26,IF(N26&gt;O26,G26,IF(N26&lt;O26,H26,IF(X26&gt;Y26,G26,IF(X26&lt;Y26,H26,"W"&amp;F26&amp;" (no. 1 - 4)"))))))</f>
        <v>W507 (no. 1 - 4)</v>
      </c>
      <c r="S26" s="11" t="str">
        <f>IF(P26&gt;Q26,H26,IF(P26&lt;Q26,G26,IF(N26&gt;O26,H26,IF(N26&lt;O26,G26,IF(X26&gt;Y26,H26,IF(X26&lt;Y26,G26,"L"&amp;F26&amp;" (no. 5 - 8)"))))))</f>
        <v>L507 (no. 5 - 8)</v>
      </c>
      <c r="T26" s="51">
        <f>IF(J26&gt;K26,2,IF(J26=K26,1,0))</f>
        <v>1</v>
      </c>
      <c r="U26" s="53">
        <f>IF(K26&gt;J26,2,IF(K26=J26,1,0))</f>
        <v>1</v>
      </c>
      <c r="V26" s="51">
        <f>IF(L26&gt;M26,2,IF(L26=M26,1,0))</f>
        <v>1</v>
      </c>
      <c r="W26" s="53">
        <f>IF(M26&gt;L26,2,IF(M26=L26,1,0))</f>
        <v>1</v>
      </c>
      <c r="X26" s="40"/>
      <c r="Y26" s="11"/>
    </row>
    <row r="27" spans="3:25" ht="25.5">
      <c r="C27" s="84"/>
      <c r="D27" s="85">
        <f>$B$11</f>
        <v>5</v>
      </c>
      <c r="E27" s="85">
        <f>$B$9+1</f>
        <v>8</v>
      </c>
      <c r="F27" s="85">
        <f>$E27+$D27*100</f>
        <v>508</v>
      </c>
      <c r="G27" s="86" t="str">
        <f>G18</f>
        <v>Condor delle Ande Torino</v>
      </c>
      <c r="H27" s="86" t="str">
        <f>G17</f>
        <v>Prince Claus</v>
      </c>
      <c r="I27" s="87" t="str">
        <f>G15</f>
        <v>Blood-and-Thunder</v>
      </c>
      <c r="J27" s="88"/>
      <c r="K27" s="87"/>
      <c r="L27" s="88"/>
      <c r="M27" s="87"/>
      <c r="N27" s="188">
        <f>SUM(J27,L27)</f>
        <v>0</v>
      </c>
      <c r="O27" s="189">
        <f>SUM(K27,M27)</f>
        <v>0</v>
      </c>
      <c r="P27" s="190">
        <f>SUM(T27,V27)</f>
        <v>2</v>
      </c>
      <c r="Q27" s="191">
        <f>SUM(U27,W27)</f>
        <v>2</v>
      </c>
      <c r="R27" s="40" t="str">
        <f>IF(P27&gt;Q27,G27,IF(P27&lt;Q27,H27,IF(N27&gt;O27,G27,IF(N27&lt;O27,H27,IF(X27&gt;Y27,G27,IF(X27&lt;Y27,H27,"W"&amp;F27&amp;" (no. 1 - 4)"))))))</f>
        <v>W508 (no. 1 - 4)</v>
      </c>
      <c r="S27" s="11" t="str">
        <f>IF(P27&gt;Q27,H27,IF(P27&lt;Q27,G27,IF(N27&gt;O27,H27,IF(N27&lt;O27,G27,IF(X27&gt;Y27,H27,IF(X27&lt;Y27,G27,"L"&amp;F27&amp;" (no. 5 - 8)"))))))</f>
        <v>L508 (no. 5 - 8)</v>
      </c>
      <c r="T27" s="51">
        <f>IF(J27&gt;K27,2,IF(J27=K27,1,0))</f>
        <v>1</v>
      </c>
      <c r="U27" s="53">
        <f>IF(K27&gt;J27,2,IF(K27=J27,1,0))</f>
        <v>1</v>
      </c>
      <c r="V27" s="51">
        <f>IF(L27&gt;M27,2,IF(L27=M27,1,0))</f>
        <v>1</v>
      </c>
      <c r="W27" s="53">
        <f>IF(M27&gt;L27,2,IF(M27=L27,1,0))</f>
        <v>1</v>
      </c>
      <c r="X27" s="40"/>
      <c r="Y27" s="11"/>
    </row>
    <row r="28" spans="2:25" ht="12.75">
      <c r="B28" s="31"/>
      <c r="C28" s="84"/>
      <c r="D28" s="85"/>
      <c r="E28" s="85"/>
      <c r="F28" s="85"/>
      <c r="G28" s="30"/>
      <c r="H28" s="30"/>
      <c r="I28" s="87"/>
      <c r="J28" s="92"/>
      <c r="K28" s="93"/>
      <c r="L28" s="92"/>
      <c r="M28" s="93"/>
      <c r="N28" s="188"/>
      <c r="O28" s="189"/>
      <c r="P28" s="190"/>
      <c r="Q28" s="191"/>
      <c r="R28" s="40"/>
      <c r="S28" s="11"/>
      <c r="T28" s="51"/>
      <c r="U28" s="53"/>
      <c r="V28" s="51"/>
      <c r="W28" s="53"/>
      <c r="X28" s="40"/>
      <c r="Y28" s="11"/>
    </row>
    <row r="29" spans="2:25" ht="12.75">
      <c r="B29" s="31"/>
      <c r="C29" s="84">
        <f>$B$10+(D29-$B$11)*($B$12/60/24+TIME(0,5,0))</f>
        <v>0.5138888888888888</v>
      </c>
      <c r="D29" s="145">
        <f>$B$11+1</f>
        <v>6</v>
      </c>
      <c r="E29" s="85">
        <f>$B$9</f>
        <v>7</v>
      </c>
      <c r="F29" s="85">
        <f>$E29+$D29*100</f>
        <v>607</v>
      </c>
      <c r="G29" s="30" t="str">
        <f>G14</f>
        <v>Abseitz Stuttgart</v>
      </c>
      <c r="H29" s="30" t="str">
        <f>G19</f>
        <v>London Spikers</v>
      </c>
      <c r="I29" s="87" t="str">
        <f>G17</f>
        <v>Prince Claus</v>
      </c>
      <c r="J29" s="92"/>
      <c r="K29" s="93"/>
      <c r="L29" s="92"/>
      <c r="M29" s="93"/>
      <c r="N29" s="188">
        <f>SUM(J29,L29)</f>
        <v>0</v>
      </c>
      <c r="O29" s="189">
        <f>SUM(K29,M29)</f>
        <v>0</v>
      </c>
      <c r="P29" s="190">
        <f>SUM(T29,V29)</f>
        <v>2</v>
      </c>
      <c r="Q29" s="191">
        <f>SUM(U29,W29)</f>
        <v>2</v>
      </c>
      <c r="R29" s="40" t="str">
        <f>IF(P29&gt;Q29,G29,IF(P29&lt;Q29,H29,IF(N29&gt;O29,G29,IF(N29&lt;O29,H29,IF(X29&gt;Y29,G29,IF(X29&lt;Y29,H29,"W"&amp;F29&amp;" (no. 1 - 4)"))))))</f>
        <v>W607 (no. 1 - 4)</v>
      </c>
      <c r="S29" s="11" t="str">
        <f>IF(P29&gt;Q29,H29,IF(P29&lt;Q29,G29,IF(N29&gt;O29,H29,IF(N29&lt;O29,G29,IF(X29&gt;Y29,H29,IF(X29&lt;Y29,G29,"L"&amp;F29&amp;" (no. 5 - 8)"))))))</f>
        <v>L607 (no. 5 - 8)</v>
      </c>
      <c r="T29" s="51">
        <f>IF(J29&gt;K29,2,IF(J29=K29,1,0))</f>
        <v>1</v>
      </c>
      <c r="U29" s="53">
        <f>IF(K29&gt;J29,2,IF(K29=J29,1,0))</f>
        <v>1</v>
      </c>
      <c r="V29" s="51">
        <f>IF(L29&gt;M29,2,IF(L29=M29,1,0))</f>
        <v>1</v>
      </c>
      <c r="W29" s="53">
        <f>IF(M29&gt;L29,2,IF(M29=L29,1,0))</f>
        <v>1</v>
      </c>
      <c r="X29" s="40"/>
      <c r="Y29" s="11"/>
    </row>
    <row r="30" spans="2:25" ht="25.5">
      <c r="B30" s="31"/>
      <c r="C30" s="84"/>
      <c r="D30" s="85">
        <f>$B$11+1</f>
        <v>6</v>
      </c>
      <c r="E30" s="85">
        <f>$B$9+1</f>
        <v>8</v>
      </c>
      <c r="F30" s="85">
        <f>$E30+$D30*100</f>
        <v>608</v>
      </c>
      <c r="G30" s="30" t="str">
        <f>G16</f>
        <v>Friends</v>
      </c>
      <c r="H30" s="30" t="str">
        <f>G15</f>
        <v>Blood-and-Thunder</v>
      </c>
      <c r="I30" s="87" t="str">
        <f>G18</f>
        <v>Condor delle Ande Torino</v>
      </c>
      <c r="J30" s="92"/>
      <c r="K30" s="93"/>
      <c r="L30" s="92"/>
      <c r="M30" s="93"/>
      <c r="N30" s="188">
        <f>SUM(J30,L30)</f>
        <v>0</v>
      </c>
      <c r="O30" s="189">
        <f>SUM(K30,M30)</f>
        <v>0</v>
      </c>
      <c r="P30" s="190">
        <f>SUM(T30,V30)</f>
        <v>2</v>
      </c>
      <c r="Q30" s="191">
        <f>SUM(U30,W30)</f>
        <v>2</v>
      </c>
      <c r="R30" s="40" t="str">
        <f>IF(P30&gt;Q30,G30,IF(P30&lt;Q30,H30,IF(N30&gt;O30,G30,IF(N30&lt;O30,H30,IF(X30&gt;Y30,G30,IF(X30&lt;Y30,H30,"W"&amp;F30&amp;" (no. 1 - 4)"))))))</f>
        <v>W608 (no. 1 - 4)</v>
      </c>
      <c r="S30" s="11" t="str">
        <f>IF(P30&gt;Q30,H30,IF(P30&lt;Q30,G30,IF(N30&gt;O30,H30,IF(N30&lt;O30,G30,IF(X30&gt;Y30,H30,IF(X30&lt;Y30,G30,"L"&amp;F30&amp;" (no. 5 - 8)"))))))</f>
        <v>L608 (no. 5 - 8)</v>
      </c>
      <c r="T30" s="51">
        <f>IF(J30&gt;K30,2,IF(J30=K30,1,0))</f>
        <v>1</v>
      </c>
      <c r="U30" s="53">
        <f>IF(K30&gt;J30,2,IF(K30=J30,1,0))</f>
        <v>1</v>
      </c>
      <c r="V30" s="51">
        <f>IF(L30&gt;M30,2,IF(L30=M30,1,0))</f>
        <v>1</v>
      </c>
      <c r="W30" s="53">
        <f>IF(M30&gt;L30,2,IF(M30=L30,1,0))</f>
        <v>1</v>
      </c>
      <c r="X30" s="40"/>
      <c r="Y30" s="11"/>
    </row>
    <row r="31" spans="2:25" ht="12.75">
      <c r="B31" s="31"/>
      <c r="C31" s="84"/>
      <c r="D31" s="85"/>
      <c r="E31" s="85"/>
      <c r="F31" s="85"/>
      <c r="G31" s="30"/>
      <c r="H31" s="30"/>
      <c r="I31" s="87"/>
      <c r="J31" s="92"/>
      <c r="K31" s="93"/>
      <c r="L31" s="92"/>
      <c r="M31" s="93"/>
      <c r="N31" s="192"/>
      <c r="O31" s="193"/>
      <c r="P31" s="194"/>
      <c r="Q31" s="195"/>
      <c r="R31" s="57"/>
      <c r="S31" s="15"/>
      <c r="T31" s="99"/>
      <c r="U31" s="100"/>
      <c r="V31" s="99"/>
      <c r="W31" s="100"/>
      <c r="X31" s="57"/>
      <c r="Y31" s="15"/>
    </row>
    <row r="32" spans="3:25" ht="12.75">
      <c r="C32" s="71"/>
      <c r="D32" s="25"/>
      <c r="E32" s="25"/>
      <c r="F32" s="25"/>
      <c r="G32" s="5"/>
      <c r="H32" s="5"/>
      <c r="I32" s="6"/>
      <c r="J32" s="71"/>
      <c r="K32" s="72"/>
      <c r="L32" s="71"/>
      <c r="M32" s="72"/>
      <c r="N32" s="196"/>
      <c r="O32" s="197"/>
      <c r="P32" s="196"/>
      <c r="Q32" s="198"/>
      <c r="R32" s="32"/>
      <c r="S32" s="6"/>
      <c r="T32" s="32"/>
      <c r="U32" s="6"/>
      <c r="V32" s="32"/>
      <c r="W32" s="6"/>
      <c r="X32" s="40"/>
      <c r="Y32" s="11"/>
    </row>
    <row r="33" spans="3:25" ht="12.75">
      <c r="C33" s="84">
        <f>$B$10+(D33-$B$11)*($B$12/60/24+TIME(0,5,0))</f>
        <v>0.5416666666666666</v>
      </c>
      <c r="D33" s="85">
        <f>$B$11+2</f>
        <v>7</v>
      </c>
      <c r="E33" s="85">
        <f>$B$9</f>
        <v>7</v>
      </c>
      <c r="F33" s="85">
        <f>$E33+$D33*100</f>
        <v>707</v>
      </c>
      <c r="G33" s="86" t="str">
        <f>S27</f>
        <v>L508 (no. 5 - 8)</v>
      </c>
      <c r="H33" s="86" t="str">
        <f>S26</f>
        <v>L507 (no. 5 - 8)</v>
      </c>
      <c r="I33" s="87" t="str">
        <f>R26</f>
        <v>W507 (no. 1 - 4)</v>
      </c>
      <c r="J33" s="88"/>
      <c r="K33" s="87"/>
      <c r="L33" s="88"/>
      <c r="M33" s="87"/>
      <c r="N33" s="188">
        <f>SUM(J33,L33)</f>
        <v>0</v>
      </c>
      <c r="O33" s="189">
        <f>SUM(K33,M33)</f>
        <v>0</v>
      </c>
      <c r="P33" s="190">
        <f>SUM(T33,V33)</f>
        <v>2</v>
      </c>
      <c r="Q33" s="191">
        <f>SUM(U33,W33)</f>
        <v>2</v>
      </c>
      <c r="R33" s="40" t="str">
        <f>IF(P33&gt;Q33,G33,IF(P33&lt;Q33,H33,IF(N33&gt;O33,G33,IF(N33&lt;O33,H33,IF(X33&gt;Y33,G33,IF(X33&lt;Y33,H33,"W"&amp;F33&amp;" (no. 5 - 6)"))))))</f>
        <v>W707 (no. 5 - 6)</v>
      </c>
      <c r="S33" s="11" t="str">
        <f>IF(P33&gt;Q33,H33,IF(P33&lt;Q33,G33,IF(N33&gt;O33,H33,IF(N33&lt;O33,G33,IF(X33&gt;Y33,H33,IF(X33&lt;Y33,G33,"L"&amp;F33&amp;" (no. 7 - 8)"))))))</f>
        <v>L707 (no. 7 - 8)</v>
      </c>
      <c r="T33" s="51">
        <f>IF(J33&gt;K33,2,IF(J33=K33,1,0))</f>
        <v>1</v>
      </c>
      <c r="U33" s="53">
        <f>IF(K33&gt;J33,2,IF(K33=J33,1,0))</f>
        <v>1</v>
      </c>
      <c r="V33" s="51">
        <f>IF(L33&gt;M33,2,IF(L33=M33,1,0))</f>
        <v>1</v>
      </c>
      <c r="W33" s="53">
        <f>IF(M33&gt;L33,2,IF(M33=L33,1,0))</f>
        <v>1</v>
      </c>
      <c r="X33" s="40"/>
      <c r="Y33" s="11"/>
    </row>
    <row r="34" spans="3:25" ht="24.75" customHeight="1">
      <c r="C34" s="84"/>
      <c r="D34" s="85"/>
      <c r="E34" s="159"/>
      <c r="F34" s="159"/>
      <c r="G34" s="187"/>
      <c r="H34" s="187"/>
      <c r="I34" s="161"/>
      <c r="J34" s="88"/>
      <c r="K34" s="87"/>
      <c r="L34" s="88"/>
      <c r="M34" s="87"/>
      <c r="N34" s="188"/>
      <c r="O34" s="189"/>
      <c r="P34" s="190"/>
      <c r="Q34" s="191"/>
      <c r="R34" s="40"/>
      <c r="S34" s="11"/>
      <c r="T34" s="51"/>
      <c r="U34" s="53"/>
      <c r="V34" s="51"/>
      <c r="W34" s="53"/>
      <c r="X34" s="40"/>
      <c r="Y34" s="11"/>
    </row>
    <row r="35" spans="3:25" ht="12.75">
      <c r="C35" s="84"/>
      <c r="D35" s="85">
        <f>$B$11+2</f>
        <v>7</v>
      </c>
      <c r="E35" s="85">
        <f>$B$9+1</f>
        <v>8</v>
      </c>
      <c r="F35" s="85">
        <f>$E35+$D35*100</f>
        <v>708</v>
      </c>
      <c r="G35" s="86" t="str">
        <f>S30</f>
        <v>L608 (no. 5 - 8)</v>
      </c>
      <c r="H35" s="86" t="str">
        <f>S29</f>
        <v>L607 (no. 5 - 8)</v>
      </c>
      <c r="I35" s="87" t="str">
        <f>R29</f>
        <v>W607 (no. 1 - 4)</v>
      </c>
      <c r="J35" s="88"/>
      <c r="K35" s="87"/>
      <c r="L35" s="88"/>
      <c r="M35" s="87"/>
      <c r="N35" s="188">
        <f>SUM(J35,L35)</f>
        <v>0</v>
      </c>
      <c r="O35" s="189">
        <f>SUM(K35,M35)</f>
        <v>0</v>
      </c>
      <c r="P35" s="190">
        <f>SUM(T35,V35)</f>
        <v>2</v>
      </c>
      <c r="Q35" s="191">
        <f>SUM(U35,W35)</f>
        <v>2</v>
      </c>
      <c r="R35" s="40" t="str">
        <f>IF(P35&gt;Q35,G35,IF(P35&lt;Q35,H35,IF(N35&gt;O35,G35,IF(N35&lt;O35,H35,IF(X35&gt;Y35,G35,IF(X35&lt;Y35,H35,"W"&amp;F35&amp;" (no. 5 - 6)"))))))</f>
        <v>W708 (no. 5 - 6)</v>
      </c>
      <c r="S35" s="11" t="str">
        <f>IF(P35&gt;Q35,H35,IF(P35&lt;Q35,G35,IF(N35&gt;O35,H35,IF(N35&lt;O35,G35,IF(X35&gt;Y35,H35,IF(X35&lt;Y35,G35,"L"&amp;F35&amp;" (no. 7 - 8)"))))))</f>
        <v>L708 (no. 7 - 8)</v>
      </c>
      <c r="T35" s="51">
        <f>IF(J35&gt;K35,2,IF(J35=K35,1,0))</f>
        <v>1</v>
      </c>
      <c r="U35" s="53">
        <f>IF(K35&gt;J35,2,IF(K35=J35,1,0))</f>
        <v>1</v>
      </c>
      <c r="V35" s="51">
        <f>IF(L35&gt;M35,2,IF(L35=M35,1,0))</f>
        <v>1</v>
      </c>
      <c r="W35" s="53">
        <f>IF(M35&gt;L35,2,IF(M35=L35,1,0))</f>
        <v>1</v>
      </c>
      <c r="X35" s="40"/>
      <c r="Y35" s="11"/>
    </row>
    <row r="36" spans="3:25" ht="24.75" customHeight="1">
      <c r="C36" s="84"/>
      <c r="D36" s="85"/>
      <c r="E36" s="159"/>
      <c r="F36" s="159"/>
      <c r="G36" s="187"/>
      <c r="H36" s="187"/>
      <c r="I36" s="161"/>
      <c r="J36" s="88"/>
      <c r="K36" s="87"/>
      <c r="L36" s="88"/>
      <c r="M36" s="87"/>
      <c r="N36" s="188"/>
      <c r="O36" s="189"/>
      <c r="P36" s="190"/>
      <c r="Q36" s="191"/>
      <c r="R36" s="40"/>
      <c r="S36" s="11"/>
      <c r="T36" s="51"/>
      <c r="U36" s="53"/>
      <c r="V36" s="51"/>
      <c r="W36" s="53"/>
      <c r="X36" s="40"/>
      <c r="Y36" s="11"/>
    </row>
    <row r="37" spans="2:25" ht="12.75">
      <c r="B37" s="31"/>
      <c r="C37" s="84"/>
      <c r="D37" s="85"/>
      <c r="E37" s="85"/>
      <c r="F37" s="85"/>
      <c r="G37" s="30"/>
      <c r="H37" s="30"/>
      <c r="I37" s="87"/>
      <c r="J37" s="92"/>
      <c r="K37" s="93"/>
      <c r="L37" s="92"/>
      <c r="M37" s="93"/>
      <c r="N37" s="188"/>
      <c r="O37" s="189"/>
      <c r="P37" s="190"/>
      <c r="Q37" s="191"/>
      <c r="R37" s="40"/>
      <c r="S37" s="11"/>
      <c r="T37" s="51"/>
      <c r="U37" s="53"/>
      <c r="V37" s="51"/>
      <c r="W37" s="53"/>
      <c r="X37" s="40"/>
      <c r="Y37" s="11"/>
    </row>
    <row r="38" spans="2:25" ht="12.75">
      <c r="B38" s="31"/>
      <c r="C38" s="84">
        <f>$B$10+(D38-$B$11)*($B$12/60/24+TIME(0,5,0))</f>
        <v>0.5694444444444444</v>
      </c>
      <c r="D38" s="145">
        <f>$B$11+3</f>
        <v>8</v>
      </c>
      <c r="E38" s="85">
        <f>$B$9</f>
        <v>7</v>
      </c>
      <c r="F38" s="85">
        <f>$E38+$D38*100</f>
        <v>807</v>
      </c>
      <c r="G38" s="30" t="str">
        <f>R26</f>
        <v>W507 (no. 1 - 4)</v>
      </c>
      <c r="H38" s="30" t="str">
        <f>R27</f>
        <v>W508 (no. 1 - 4)</v>
      </c>
      <c r="I38" s="87" t="str">
        <f>S26</f>
        <v>L507 (no. 5 - 8)</v>
      </c>
      <c r="J38" s="92"/>
      <c r="K38" s="93"/>
      <c r="L38" s="92"/>
      <c r="M38" s="93"/>
      <c r="N38" s="188">
        <f>SUM(J38,L38)</f>
        <v>0</v>
      </c>
      <c r="O38" s="189">
        <f>SUM(K38,M38)</f>
        <v>0</v>
      </c>
      <c r="P38" s="190">
        <f>SUM(T38,V38)</f>
        <v>2</v>
      </c>
      <c r="Q38" s="191">
        <f>SUM(U38,W38)</f>
        <v>2</v>
      </c>
      <c r="R38" s="40" t="str">
        <f>IF(P38&gt;Q38,G38,IF(P38&lt;Q38,H38,IF(N38&gt;O38,G38,IF(N38&lt;O38,H38,IF(X38&gt;Y38,G38,IF(X38&lt;Y38,H38,"W"&amp;F38&amp;" (no. 1 - 2)"))))))</f>
        <v>W807 (no. 1 - 2)</v>
      </c>
      <c r="S38" s="11" t="str">
        <f>IF(P38&gt;Q38,H38,IF(P38&lt;Q38,G38,IF(N38&gt;O38,H38,IF(N38&lt;O38,G38,IF(X38&gt;Y38,H38,IF(X38&lt;Y38,G38,"L"&amp;F38&amp;" (no. 3 - 4)"))))))</f>
        <v>L807 (no. 3 - 4)</v>
      </c>
      <c r="T38" s="51">
        <f>IF(J38&gt;K38,2,IF(J38=K38,1,0))</f>
        <v>1</v>
      </c>
      <c r="U38" s="53">
        <f>IF(K38&gt;J38,2,IF(K38=J38,1,0))</f>
        <v>1</v>
      </c>
      <c r="V38" s="51">
        <f>IF(L38&gt;M38,2,IF(L38=M38,1,0))</f>
        <v>1</v>
      </c>
      <c r="W38" s="53">
        <f>IF(M38&gt;L38,2,IF(M38=L38,1,0))</f>
        <v>1</v>
      </c>
      <c r="X38" s="40"/>
      <c r="Y38" s="11"/>
    </row>
    <row r="39" spans="2:25" ht="24.75" customHeight="1">
      <c r="B39" s="31"/>
      <c r="C39" s="84"/>
      <c r="D39" s="145"/>
      <c r="E39" s="159"/>
      <c r="F39" s="159"/>
      <c r="G39" s="187"/>
      <c r="H39" s="187"/>
      <c r="I39" s="161"/>
      <c r="J39" s="92"/>
      <c r="K39" s="93"/>
      <c r="L39" s="92"/>
      <c r="M39" s="93"/>
      <c r="N39" s="188"/>
      <c r="O39" s="189"/>
      <c r="P39" s="190"/>
      <c r="Q39" s="191"/>
      <c r="R39" s="40"/>
      <c r="S39" s="11"/>
      <c r="T39" s="51"/>
      <c r="U39" s="53"/>
      <c r="V39" s="51"/>
      <c r="W39" s="53"/>
      <c r="X39" s="40"/>
      <c r="Y39" s="11"/>
    </row>
    <row r="40" spans="2:25" ht="12.75">
      <c r="B40" s="31"/>
      <c r="C40" s="84"/>
      <c r="D40" s="85">
        <f>$B$11+3</f>
        <v>8</v>
      </c>
      <c r="E40" s="85">
        <f>$B$9+1</f>
        <v>8</v>
      </c>
      <c r="F40" s="85">
        <f>$E40+$D40*100</f>
        <v>808</v>
      </c>
      <c r="G40" s="30" t="str">
        <f>R29</f>
        <v>W607 (no. 1 - 4)</v>
      </c>
      <c r="H40" s="30" t="str">
        <f>R30</f>
        <v>W608 (no. 1 - 4)</v>
      </c>
      <c r="I40" s="87" t="str">
        <f>S29</f>
        <v>L607 (no. 5 - 8)</v>
      </c>
      <c r="J40" s="92"/>
      <c r="K40" s="93"/>
      <c r="L40" s="92"/>
      <c r="M40" s="93"/>
      <c r="N40" s="188">
        <f>SUM(J40,L40)</f>
        <v>0</v>
      </c>
      <c r="O40" s="189">
        <f>SUM(K40,M40)</f>
        <v>0</v>
      </c>
      <c r="P40" s="190">
        <f>SUM(T40,V40)</f>
        <v>2</v>
      </c>
      <c r="Q40" s="191">
        <f>SUM(U40,W40)</f>
        <v>2</v>
      </c>
      <c r="R40" s="40" t="str">
        <f>IF(P40&gt;Q40,G40,IF(P40&lt;Q40,H40,IF(N40&gt;O40,G40,IF(N40&lt;O40,H40,IF(X40&gt;Y40,G40,IF(X40&lt;Y40,H40,"W"&amp;F40&amp;" (no. 1 - 2)"))))))</f>
        <v>W808 (no. 1 - 2)</v>
      </c>
      <c r="S40" s="11" t="str">
        <f>IF(P40&gt;Q40,H40,IF(P40&lt;Q40,G40,IF(N40&gt;O40,H40,IF(N40&lt;O40,G40,IF(X40&gt;Y40,H40,IF(X40&lt;Y40,G40,"L"&amp;F40&amp;" (no. 3 - 4)"))))))</f>
        <v>L808 (no. 3 - 4)</v>
      </c>
      <c r="T40" s="51">
        <f>IF(J40&gt;K40,2,IF(J40=K40,1,0))</f>
        <v>1</v>
      </c>
      <c r="U40" s="53">
        <f>IF(K40&gt;J40,2,IF(K40=J40,1,0))</f>
        <v>1</v>
      </c>
      <c r="V40" s="51">
        <f>IF(L40&gt;M40,2,IF(L40=M40,1,0))</f>
        <v>1</v>
      </c>
      <c r="W40" s="53">
        <f>IF(M40&gt;L40,2,IF(M40=L40,1,0))</f>
        <v>1</v>
      </c>
      <c r="X40" s="40"/>
      <c r="Y40" s="11"/>
    </row>
    <row r="41" spans="2:25" ht="24.75" customHeight="1">
      <c r="B41" s="31"/>
      <c r="C41" s="84"/>
      <c r="D41" s="85"/>
      <c r="E41" s="159"/>
      <c r="F41" s="159"/>
      <c r="G41" s="187"/>
      <c r="H41" s="187"/>
      <c r="I41" s="161"/>
      <c r="J41" s="92"/>
      <c r="K41" s="93"/>
      <c r="L41" s="92"/>
      <c r="M41" s="93"/>
      <c r="N41" s="188"/>
      <c r="O41" s="189"/>
      <c r="P41" s="190"/>
      <c r="Q41" s="191"/>
      <c r="R41" s="40"/>
      <c r="S41" s="11"/>
      <c r="T41" s="51"/>
      <c r="U41" s="53"/>
      <c r="V41" s="51"/>
      <c r="W41" s="53"/>
      <c r="X41" s="40"/>
      <c r="Y41" s="11"/>
    </row>
    <row r="42" spans="2:25" ht="12.75">
      <c r="B42" s="31"/>
      <c r="C42" s="84"/>
      <c r="D42" s="85"/>
      <c r="E42" s="85"/>
      <c r="F42" s="85"/>
      <c r="G42" s="30"/>
      <c r="H42" s="30"/>
      <c r="I42" s="87"/>
      <c r="J42" s="92"/>
      <c r="K42" s="93"/>
      <c r="L42" s="92"/>
      <c r="M42" s="93"/>
      <c r="N42" s="192"/>
      <c r="O42" s="193"/>
      <c r="P42" s="194"/>
      <c r="Q42" s="195"/>
      <c r="R42" s="57"/>
      <c r="S42" s="15"/>
      <c r="T42" s="99"/>
      <c r="U42" s="100"/>
      <c r="V42" s="99"/>
      <c r="W42" s="100"/>
      <c r="X42" s="57"/>
      <c r="Y42" s="15"/>
    </row>
    <row r="43" spans="3:25" ht="12.75">
      <c r="C43" s="71"/>
      <c r="D43" s="25"/>
      <c r="E43" s="25"/>
      <c r="F43" s="25"/>
      <c r="G43" s="5"/>
      <c r="H43" s="5"/>
      <c r="I43" s="6"/>
      <c r="J43" s="71"/>
      <c r="K43" s="72"/>
      <c r="L43" s="71"/>
      <c r="M43" s="72"/>
      <c r="N43" s="196"/>
      <c r="O43" s="197"/>
      <c r="P43" s="196"/>
      <c r="Q43" s="198"/>
      <c r="R43" s="32"/>
      <c r="S43" s="6"/>
      <c r="T43" s="32"/>
      <c r="U43" s="6"/>
      <c r="V43" s="32"/>
      <c r="W43" s="6"/>
      <c r="X43" s="40"/>
      <c r="Y43" s="11"/>
    </row>
    <row r="44" spans="3:25" ht="12.75">
      <c r="C44" s="84">
        <f>$B$10+(D44-$B$11)*($B$12/60/24+TIME(0,5,0))</f>
        <v>0.5972222222222222</v>
      </c>
      <c r="D44" s="85">
        <f>$B$11+4</f>
        <v>9</v>
      </c>
      <c r="E44" s="85">
        <f>$B$9</f>
        <v>7</v>
      </c>
      <c r="F44" s="85">
        <f>$E44+$D44*100</f>
        <v>907</v>
      </c>
      <c r="G44" s="86" t="str">
        <f>S35</f>
        <v>L708 (no. 7 - 8)</v>
      </c>
      <c r="H44" s="86" t="str">
        <f>S33</f>
        <v>L707 (no. 7 - 8)</v>
      </c>
      <c r="I44" s="87" t="str">
        <f>R38</f>
        <v>W807 (no. 1 - 2)</v>
      </c>
      <c r="J44" s="88"/>
      <c r="K44" s="87"/>
      <c r="L44" s="88"/>
      <c r="M44" s="87"/>
      <c r="N44" s="188">
        <f>SUM(J44,L44)</f>
        <v>0</v>
      </c>
      <c r="O44" s="189">
        <f>SUM(K44,M44)</f>
        <v>0</v>
      </c>
      <c r="P44" s="190">
        <f>SUM(T44,V44)</f>
        <v>2</v>
      </c>
      <c r="Q44" s="191">
        <f>SUM(U44,W44)</f>
        <v>2</v>
      </c>
      <c r="R44" s="40" t="str">
        <f>IF(P44&gt;Q44,G44,IF(P44&lt;Q44,H44,IF(N44&gt;O44,G44,IF(N44&lt;O44,H44,IF(X44&gt;Y44,G44,IF(X44&lt;Y44,H44,"W"&amp;F44&amp;" (no. 7)"))))))</f>
        <v>W907 (no. 7)</v>
      </c>
      <c r="S44" s="11" t="str">
        <f>IF(P44&gt;Q44,H44,IF(P44&lt;Q44,G44,IF(N44&gt;O44,H44,IF(N44&lt;O44,G44,IF(X44&gt;Y44,H44,IF(X44&lt;Y44,G44,"L"&amp;F44&amp;" (no. 8)"))))))</f>
        <v>L907 (no. 8)</v>
      </c>
      <c r="T44" s="51">
        <f>IF(J44&gt;K44,2,IF(J44=K44,1,0))</f>
        <v>1</v>
      </c>
      <c r="U44" s="53">
        <f>IF(K44&gt;J44,2,IF(K44=J44,1,0))</f>
        <v>1</v>
      </c>
      <c r="V44" s="51">
        <f>IF(L44&gt;M44,2,IF(L44=M44,1,0))</f>
        <v>1</v>
      </c>
      <c r="W44" s="53">
        <f>IF(M44&gt;L44,2,IF(M44=L44,1,0))</f>
        <v>1</v>
      </c>
      <c r="X44" s="40"/>
      <c r="Y44" s="11"/>
    </row>
    <row r="45" spans="3:25" ht="24.75" customHeight="1">
      <c r="C45" s="84"/>
      <c r="D45" s="85"/>
      <c r="E45" s="159"/>
      <c r="F45" s="159"/>
      <c r="G45" s="187"/>
      <c r="H45" s="187"/>
      <c r="I45" s="161"/>
      <c r="J45" s="88"/>
      <c r="K45" s="87"/>
      <c r="L45" s="88"/>
      <c r="M45" s="87"/>
      <c r="N45" s="188"/>
      <c r="O45" s="189"/>
      <c r="P45" s="190"/>
      <c r="Q45" s="191"/>
      <c r="R45" s="40"/>
      <c r="S45" s="11"/>
      <c r="T45" s="51"/>
      <c r="U45" s="53"/>
      <c r="V45" s="51"/>
      <c r="W45" s="53"/>
      <c r="X45" s="40"/>
      <c r="Y45" s="11"/>
    </row>
    <row r="46" spans="3:25" ht="12.75">
      <c r="C46" s="84"/>
      <c r="D46" s="85">
        <f>$B$11+4</f>
        <v>9</v>
      </c>
      <c r="E46" s="85">
        <f>$B$9+1</f>
        <v>8</v>
      </c>
      <c r="F46" s="85">
        <f>$E46+$D46*100</f>
        <v>908</v>
      </c>
      <c r="G46" s="86" t="str">
        <f>R33</f>
        <v>W707 (no. 5 - 6)</v>
      </c>
      <c r="H46" s="86" t="str">
        <f>R35</f>
        <v>W708 (no. 5 - 6)</v>
      </c>
      <c r="I46" s="87" t="str">
        <f>R40</f>
        <v>W808 (no. 1 - 2)</v>
      </c>
      <c r="J46" s="88"/>
      <c r="K46" s="87"/>
      <c r="L46" s="88"/>
      <c r="M46" s="87"/>
      <c r="N46" s="188">
        <f>SUM(J46,L46)</f>
        <v>0</v>
      </c>
      <c r="O46" s="189">
        <f>SUM(K46,M46)</f>
        <v>0</v>
      </c>
      <c r="P46" s="190">
        <f>SUM(T46,V46)</f>
        <v>2</v>
      </c>
      <c r="Q46" s="191">
        <f>SUM(U46,W46)</f>
        <v>2</v>
      </c>
      <c r="R46" s="40" t="str">
        <f>IF(P46&gt;Q46,G46,IF(P46&lt;Q46,H46,IF(N46&gt;O46,G46,IF(N46&lt;O46,H46,IF(X46&gt;Y46,G46,IF(X46&lt;Y46,H46,"W"&amp;F46&amp;" (no. 5)"))))))</f>
        <v>W908 (no. 5)</v>
      </c>
      <c r="S46" s="11" t="str">
        <f>IF(P46&gt;Q46,H46,IF(P46&lt;Q46,G46,IF(N46&gt;O46,H46,IF(N46&lt;O46,G46,IF(X46&gt;Y46,H46,IF(X46&lt;Y46,G46,"L"&amp;F46&amp;" (no. 6)"))))))</f>
        <v>L908 (no. 6)</v>
      </c>
      <c r="T46" s="51">
        <f>IF(J46&gt;K46,2,IF(J46=K46,1,0))</f>
        <v>1</v>
      </c>
      <c r="U46" s="53">
        <f>IF(K46&gt;J46,2,IF(K46=J46,1,0))</f>
        <v>1</v>
      </c>
      <c r="V46" s="51">
        <f>IF(L46&gt;M46,2,IF(L46=M46,1,0))</f>
        <v>1</v>
      </c>
      <c r="W46" s="53">
        <f>IF(M46&gt;L46,2,IF(M46=L46,1,0))</f>
        <v>1</v>
      </c>
      <c r="X46" s="40"/>
      <c r="Y46" s="11"/>
    </row>
    <row r="47" spans="3:25" ht="24.75" customHeight="1">
      <c r="C47" s="84"/>
      <c r="D47" s="85"/>
      <c r="E47" s="159"/>
      <c r="F47" s="159"/>
      <c r="G47" s="187"/>
      <c r="H47" s="187"/>
      <c r="I47" s="161"/>
      <c r="J47" s="88"/>
      <c r="K47" s="87"/>
      <c r="L47" s="88"/>
      <c r="M47" s="87"/>
      <c r="N47" s="188"/>
      <c r="O47" s="189"/>
      <c r="P47" s="190"/>
      <c r="Q47" s="191"/>
      <c r="R47" s="40"/>
      <c r="S47" s="11"/>
      <c r="T47" s="51"/>
      <c r="U47" s="53"/>
      <c r="V47" s="51"/>
      <c r="W47" s="53"/>
      <c r="X47" s="40"/>
      <c r="Y47" s="11"/>
    </row>
    <row r="48" spans="3:25" ht="12.75">
      <c r="C48" s="84"/>
      <c r="D48" s="85"/>
      <c r="E48" s="85"/>
      <c r="F48" s="85"/>
      <c r="G48" s="86"/>
      <c r="H48" s="86"/>
      <c r="I48" s="87"/>
      <c r="J48" s="88"/>
      <c r="K48" s="87"/>
      <c r="L48" s="88"/>
      <c r="M48" s="87"/>
      <c r="N48" s="89"/>
      <c r="O48" s="90"/>
      <c r="P48" s="99"/>
      <c r="Q48" s="100"/>
      <c r="R48" s="40"/>
      <c r="S48" s="11"/>
      <c r="T48" s="51"/>
      <c r="U48" s="53"/>
      <c r="V48" s="51"/>
      <c r="W48" s="53"/>
      <c r="X48" s="40"/>
      <c r="Y48" s="11"/>
    </row>
    <row r="49" spans="3:25" ht="12.75">
      <c r="C49" s="84">
        <f>$B$10+(D49-$B$11)*($B$12/60/24+TIME(0,5,0))</f>
        <v>0.625</v>
      </c>
      <c r="D49" s="201">
        <f>$B$11+5</f>
        <v>10</v>
      </c>
      <c r="E49" s="102"/>
      <c r="F49" s="258" t="s">
        <v>97</v>
      </c>
      <c r="G49" s="258"/>
      <c r="H49" s="258"/>
      <c r="I49" s="259"/>
      <c r="J49" s="88"/>
      <c r="K49" s="87"/>
      <c r="L49" s="88"/>
      <c r="M49" s="87"/>
      <c r="N49" s="89"/>
      <c r="O49" s="90"/>
      <c r="P49" s="99"/>
      <c r="Q49" s="100"/>
      <c r="R49" s="40"/>
      <c r="S49" s="11"/>
      <c r="T49" s="51"/>
      <c r="U49" s="53"/>
      <c r="V49" s="51"/>
      <c r="W49" s="53"/>
      <c r="X49" s="40"/>
      <c r="Y49" s="11"/>
    </row>
    <row r="50" spans="2:25" ht="12.75">
      <c r="B50" s="31"/>
      <c r="C50" s="84"/>
      <c r="D50" s="85"/>
      <c r="E50" s="85"/>
      <c r="F50" s="85"/>
      <c r="G50" s="30"/>
      <c r="H50" s="30"/>
      <c r="I50" s="87"/>
      <c r="J50" s="92"/>
      <c r="K50" s="93"/>
      <c r="L50" s="92"/>
      <c r="M50" s="93"/>
      <c r="N50" s="89"/>
      <c r="O50" s="90"/>
      <c r="P50" s="99"/>
      <c r="Q50" s="100"/>
      <c r="R50" s="57"/>
      <c r="S50" s="15"/>
      <c r="T50" s="99"/>
      <c r="U50" s="100"/>
      <c r="V50" s="99"/>
      <c r="W50" s="100"/>
      <c r="X50" s="40"/>
      <c r="Y50" s="11"/>
    </row>
    <row r="51" spans="3:39" ht="12.75">
      <c r="C51" s="32"/>
      <c r="D51" s="5"/>
      <c r="E51" s="5"/>
      <c r="F51" s="5"/>
      <c r="G51" s="5"/>
      <c r="H51" s="5"/>
      <c r="I51" s="6"/>
      <c r="J51" s="249" t="s">
        <v>39</v>
      </c>
      <c r="K51" s="250"/>
      <c r="L51" s="249" t="s">
        <v>40</v>
      </c>
      <c r="M51" s="250"/>
      <c r="N51" s="249" t="s">
        <v>41</v>
      </c>
      <c r="O51" s="250"/>
      <c r="P51" s="249" t="s">
        <v>31</v>
      </c>
      <c r="Q51" s="250"/>
      <c r="R51" s="32"/>
      <c r="S51" s="6"/>
      <c r="T51" s="249" t="s">
        <v>39</v>
      </c>
      <c r="U51" s="250"/>
      <c r="V51" s="249" t="s">
        <v>40</v>
      </c>
      <c r="W51" s="250"/>
      <c r="X51" s="249" t="s">
        <v>41</v>
      </c>
      <c r="Y51" s="250"/>
      <c r="Z51" s="249" t="s">
        <v>42</v>
      </c>
      <c r="AA51" s="250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2:27" ht="12.75">
      <c r="B52" s="31"/>
      <c r="C52" s="73" t="s">
        <v>18</v>
      </c>
      <c r="D52" s="74" t="s">
        <v>43</v>
      </c>
      <c r="E52" s="74" t="s">
        <v>17</v>
      </c>
      <c r="F52" s="75" t="s">
        <v>44</v>
      </c>
      <c r="G52" s="76" t="s">
        <v>45</v>
      </c>
      <c r="H52" s="77" t="s">
        <v>46</v>
      </c>
      <c r="I52" s="78" t="s">
        <v>47</v>
      </c>
      <c r="J52" s="79" t="s">
        <v>48</v>
      </c>
      <c r="K52" s="80" t="s">
        <v>49</v>
      </c>
      <c r="L52" s="79" t="s">
        <v>48</v>
      </c>
      <c r="M52" s="80" t="s">
        <v>49</v>
      </c>
      <c r="N52" s="79" t="s">
        <v>48</v>
      </c>
      <c r="O52" s="80" t="s">
        <v>49</v>
      </c>
      <c r="P52" s="79" t="s">
        <v>48</v>
      </c>
      <c r="Q52" s="80" t="s">
        <v>49</v>
      </c>
      <c r="R52" s="57" t="s">
        <v>79</v>
      </c>
      <c r="S52" s="15" t="s">
        <v>80</v>
      </c>
      <c r="T52" s="79" t="s">
        <v>48</v>
      </c>
      <c r="U52" s="80" t="s">
        <v>49</v>
      </c>
      <c r="V52" s="79" t="s">
        <v>48</v>
      </c>
      <c r="W52" s="80" t="s">
        <v>49</v>
      </c>
      <c r="X52" s="79" t="s">
        <v>48</v>
      </c>
      <c r="Y52" s="80" t="s">
        <v>49</v>
      </c>
      <c r="Z52" s="79" t="s">
        <v>48</v>
      </c>
      <c r="AA52" s="80" t="s">
        <v>49</v>
      </c>
    </row>
    <row r="53" spans="1:27" ht="12.75">
      <c r="A53" s="18" t="s">
        <v>70</v>
      </c>
      <c r="B53" s="18" t="s">
        <v>71</v>
      </c>
      <c r="C53" s="84"/>
      <c r="D53" s="85"/>
      <c r="E53" s="85"/>
      <c r="F53" s="85"/>
      <c r="G53" s="30"/>
      <c r="H53" s="30"/>
      <c r="I53" s="87"/>
      <c r="J53" s="92"/>
      <c r="K53" s="93"/>
      <c r="L53" s="92"/>
      <c r="M53" s="93"/>
      <c r="N53" s="89"/>
      <c r="O53" s="90"/>
      <c r="P53" s="99"/>
      <c r="Q53" s="100"/>
      <c r="R53" s="40"/>
      <c r="S53" s="11"/>
      <c r="T53" s="99"/>
      <c r="U53" s="100"/>
      <c r="V53" s="99"/>
      <c r="W53" s="100"/>
      <c r="X53" s="99"/>
      <c r="Y53" s="100"/>
      <c r="Z53" s="92"/>
      <c r="AA53" s="93"/>
    </row>
    <row r="54" spans="1:27" ht="12.75">
      <c r="A54" s="147">
        <v>0.6458333333333334</v>
      </c>
      <c r="B54" s="143">
        <v>1</v>
      </c>
      <c r="C54" s="153">
        <f>$A$54</f>
        <v>0.6458333333333334</v>
      </c>
      <c r="D54" s="145">
        <f>$B$11+5</f>
        <v>10</v>
      </c>
      <c r="E54" s="152">
        <f>$B$54</f>
        <v>1</v>
      </c>
      <c r="F54" s="145">
        <f>$E54+$D54*100</f>
        <v>1001</v>
      </c>
      <c r="G54" s="148" t="str">
        <f>S40</f>
        <v>L808 (no. 3 - 4)</v>
      </c>
      <c r="H54" s="148" t="str">
        <f>S38</f>
        <v>L807 (no. 3 - 4)</v>
      </c>
      <c r="I54" s="149" t="str">
        <f>"Official / "&amp;R40</f>
        <v>Official / W808 (no. 1 - 2)</v>
      </c>
      <c r="J54" s="88"/>
      <c r="K54" s="87"/>
      <c r="L54" s="88"/>
      <c r="M54" s="87"/>
      <c r="N54" s="89">
        <f>IF(OR(T54+V54=2,U54+W54=2),"---","")</f>
      </c>
      <c r="O54" s="90">
        <f>IF(OR(T54+V54=2,U54+W54=2),"---","")</f>
      </c>
      <c r="P54" s="199">
        <f>IF(AND(Z54=2,AA54=0),3,Z54)</f>
        <v>0</v>
      </c>
      <c r="Q54" s="200">
        <f>IF(AND(AA54=2,Z54=0),3,AA54)</f>
        <v>0</v>
      </c>
      <c r="R54" s="40" t="str">
        <f>IF(P54&gt;Q54,G54,IF(P54&lt;Q54,H54,"W"&amp;F54&amp;" (no. 3)"))</f>
        <v>W1001 (no. 3)</v>
      </c>
      <c r="S54" s="11" t="str">
        <f>IF(P54&gt;Q54,H54,IF(P54&lt;Q54,G54,"L"&amp;F54&amp;" (no. 4)"))</f>
        <v>L1001 (no. 4)</v>
      </c>
      <c r="T54" s="51">
        <f>IF(J54&gt;K54,1,0)</f>
        <v>0</v>
      </c>
      <c r="U54" s="53">
        <f>IF(K54&gt;J54,1,0)</f>
        <v>0</v>
      </c>
      <c r="V54" s="51">
        <f>IF(L54&gt;M54,1,0)</f>
        <v>0</v>
      </c>
      <c r="W54" s="53">
        <f>IF(M54&gt;L54,1,0)</f>
        <v>0</v>
      </c>
      <c r="X54" s="51">
        <f>IF(N54&gt;O54,1,0)</f>
        <v>0</v>
      </c>
      <c r="Y54" s="53">
        <f>IF(O54&gt;N54,1,0)</f>
        <v>0</v>
      </c>
      <c r="Z54" s="54">
        <f>SUM(T54,V54,X54)</f>
        <v>0</v>
      </c>
      <c r="AA54" s="91">
        <f>SUM(U54,W54,Y54)</f>
        <v>0</v>
      </c>
    </row>
    <row r="55" spans="1:27" ht="24.75" customHeight="1">
      <c r="A55" s="147"/>
      <c r="B55" s="143"/>
      <c r="C55" s="153"/>
      <c r="D55" s="145"/>
      <c r="E55" s="159"/>
      <c r="F55" s="159"/>
      <c r="G55" s="187"/>
      <c r="H55" s="187"/>
      <c r="I55" s="149"/>
      <c r="J55" s="88"/>
      <c r="K55" s="87"/>
      <c r="L55" s="88"/>
      <c r="M55" s="87"/>
      <c r="N55" s="89"/>
      <c r="O55" s="90"/>
      <c r="P55" s="199"/>
      <c r="Q55" s="200"/>
      <c r="R55" s="40"/>
      <c r="S55" s="11"/>
      <c r="T55" s="51"/>
      <c r="U55" s="53"/>
      <c r="V55" s="51"/>
      <c r="W55" s="53"/>
      <c r="X55" s="51"/>
      <c r="Y55" s="53"/>
      <c r="Z55" s="54"/>
      <c r="AA55" s="91"/>
    </row>
    <row r="56" spans="1:27" ht="12.75">
      <c r="A56" s="143"/>
      <c r="B56" s="142"/>
      <c r="C56" s="84"/>
      <c r="D56" s="145"/>
      <c r="E56" s="152"/>
      <c r="F56" s="145"/>
      <c r="G56" s="150"/>
      <c r="H56" s="150"/>
      <c r="I56" s="151"/>
      <c r="J56" s="40"/>
      <c r="K56" s="11"/>
      <c r="L56" s="40"/>
      <c r="M56" s="11"/>
      <c r="N56" s="89">
        <f>IF(OR(T56+V56=2,U56+W56=2),"---","")</f>
      </c>
      <c r="O56" s="90">
        <f>IF(OR(T56+V56=2,U56+W56=2),"---","")</f>
      </c>
      <c r="P56" s="199"/>
      <c r="Q56" s="200"/>
      <c r="R56" s="40"/>
      <c r="S56" s="11"/>
      <c r="T56" s="51"/>
      <c r="U56" s="53"/>
      <c r="V56" s="51"/>
      <c r="W56" s="53"/>
      <c r="X56" s="51"/>
      <c r="Y56" s="53"/>
      <c r="Z56" s="54"/>
      <c r="AA56" s="91"/>
    </row>
    <row r="57" spans="1:27" ht="12.75">
      <c r="A57" s="143"/>
      <c r="B57" s="142"/>
      <c r="C57" s="84">
        <f>C54+75/60/24</f>
        <v>0.6979166666666667</v>
      </c>
      <c r="D57" s="145">
        <f>$B$11+7</f>
        <v>12</v>
      </c>
      <c r="E57" s="152">
        <f>$B$54</f>
        <v>1</v>
      </c>
      <c r="F57" s="145">
        <f>$E57+$D57*100</f>
        <v>1201</v>
      </c>
      <c r="G57" s="144" t="str">
        <f>R38</f>
        <v>W807 (no. 1 - 2)</v>
      </c>
      <c r="H57" s="144" t="str">
        <f>R40</f>
        <v>W808 (no. 1 - 2)</v>
      </c>
      <c r="I57" s="151" t="str">
        <f>"Official / "&amp;R54</f>
        <v>Official / W1001 (no. 3)</v>
      </c>
      <c r="J57" s="96"/>
      <c r="K57" s="94"/>
      <c r="L57" s="96"/>
      <c r="M57" s="94"/>
      <c r="N57" s="89">
        <f>IF(OR(T57+V57=2,U57+W57=2),"---","")</f>
      </c>
      <c r="O57" s="90">
        <f>IF(OR(T57+V57=2,U57+W57=2),"---","")</f>
      </c>
      <c r="P57" s="199">
        <f>IF(AND(Z57=2,AA57=0),3,Z57)</f>
        <v>0</v>
      </c>
      <c r="Q57" s="200">
        <f>IF(AND(AA57=2,Z57=0),3,AA57)</f>
        <v>0</v>
      </c>
      <c r="R57" s="40" t="str">
        <f>IF(P57&gt;Q57,G57,IF(P57&lt;Q57,H57,"W"&amp;F57&amp;" (no. 1)"))</f>
        <v>W1201 (no. 1)</v>
      </c>
      <c r="S57" s="11" t="str">
        <f>IF(P57&gt;Q57,H57,IF(P57&lt;Q57,G57,"L"&amp;F57&amp;" (no. 2)"))</f>
        <v>L1201 (no. 2)</v>
      </c>
      <c r="T57" s="51">
        <f>IF(J57&gt;K57,1,0)</f>
        <v>0</v>
      </c>
      <c r="U57" s="53">
        <f>IF(K57&gt;J57,1,0)</f>
        <v>0</v>
      </c>
      <c r="V57" s="51">
        <f>IF(L57&gt;M57,1,0)</f>
        <v>0</v>
      </c>
      <c r="W57" s="53">
        <f>IF(M57&gt;L57,1,0)</f>
        <v>0</v>
      </c>
      <c r="X57" s="51">
        <f>IF(N57&gt;O57,1,0)</f>
        <v>0</v>
      </c>
      <c r="Y57" s="53">
        <f>IF(O57&gt;N57,1,0)</f>
        <v>0</v>
      </c>
      <c r="Z57" s="54">
        <f>SUM(T57,V57,X57)</f>
        <v>0</v>
      </c>
      <c r="AA57" s="91">
        <f>SUM(U57,W57,Y57)</f>
        <v>0</v>
      </c>
    </row>
    <row r="58" spans="1:27" ht="24.75" customHeight="1">
      <c r="A58" s="143"/>
      <c r="B58" s="142"/>
      <c r="C58" s="84"/>
      <c r="D58" s="145"/>
      <c r="E58" s="159"/>
      <c r="F58" s="159"/>
      <c r="G58" s="187"/>
      <c r="H58" s="187"/>
      <c r="I58" s="151"/>
      <c r="J58" s="96"/>
      <c r="K58" s="94"/>
      <c r="L58" s="96"/>
      <c r="M58" s="94"/>
      <c r="N58" s="89"/>
      <c r="O58" s="90"/>
      <c r="P58" s="199"/>
      <c r="Q58" s="200"/>
      <c r="R58" s="40"/>
      <c r="S58" s="11"/>
      <c r="T58" s="51"/>
      <c r="U58" s="53"/>
      <c r="V58" s="51"/>
      <c r="W58" s="53"/>
      <c r="X58" s="51"/>
      <c r="Y58" s="53"/>
      <c r="Z58" s="54"/>
      <c r="AA58" s="91"/>
    </row>
    <row r="59" spans="2:27" ht="12.75">
      <c r="B59" s="31"/>
      <c r="C59" s="84"/>
      <c r="D59" s="85"/>
      <c r="E59" s="85"/>
      <c r="F59" s="85"/>
      <c r="G59" s="95"/>
      <c r="H59" s="95"/>
      <c r="I59" s="94"/>
      <c r="J59" s="97"/>
      <c r="K59" s="98"/>
      <c r="L59" s="97"/>
      <c r="M59" s="98"/>
      <c r="N59" s="89">
        <f>IF(OR(T59+V59=2,U59+W59=2),"---","")</f>
      </c>
      <c r="O59" s="90">
        <f>IF(OR(T59+V59=2,U59+W59=2),"---","")</f>
      </c>
      <c r="P59" s="99"/>
      <c r="Q59" s="100"/>
      <c r="R59" s="40"/>
      <c r="S59" s="11"/>
      <c r="T59" s="101"/>
      <c r="U59" s="11"/>
      <c r="V59" s="40"/>
      <c r="W59" s="11"/>
      <c r="X59" s="40"/>
      <c r="Y59" s="11"/>
      <c r="Z59" s="40"/>
      <c r="AA59" s="11"/>
    </row>
    <row r="60" spans="2:27" ht="12.75" customHeight="1">
      <c r="B60" s="70"/>
      <c r="C60" s="84">
        <f>C57+75/60/24</f>
        <v>0.7500000000000001</v>
      </c>
      <c r="D60" s="85"/>
      <c r="E60" s="102"/>
      <c r="G60" s="251" t="str">
        <f>"Price ceremony on court 2."</f>
        <v>Price ceremony on court 2.</v>
      </c>
      <c r="H60" s="251"/>
      <c r="I60" s="103"/>
      <c r="J60" s="97"/>
      <c r="K60" s="98"/>
      <c r="L60" s="97"/>
      <c r="M60" s="98"/>
      <c r="N60" s="89">
        <f>IF(OR(T60+V60=2,U60+W60=2),"---","")</f>
      </c>
      <c r="O60" s="90">
        <f>IF(OR(T60+V60=2,U60+W60=2),"---","")</f>
      </c>
      <c r="P60" s="99"/>
      <c r="Q60" s="100"/>
      <c r="R60" s="40"/>
      <c r="S60" s="11"/>
      <c r="T60" s="40"/>
      <c r="U60" s="11"/>
      <c r="V60" s="40"/>
      <c r="W60" s="11"/>
      <c r="X60" s="40"/>
      <c r="Y60" s="11"/>
      <c r="Z60" s="40"/>
      <c r="AA60" s="11"/>
    </row>
    <row r="61" spans="2:27" ht="12.75">
      <c r="B61" s="31"/>
      <c r="C61" s="73"/>
      <c r="D61" s="14"/>
      <c r="E61" s="14"/>
      <c r="F61" s="14"/>
      <c r="G61" s="14"/>
      <c r="H61" s="14"/>
      <c r="I61" s="15"/>
      <c r="J61" s="57"/>
      <c r="K61" s="15"/>
      <c r="L61" s="57"/>
      <c r="M61" s="15"/>
      <c r="N61" s="104"/>
      <c r="O61" s="58"/>
      <c r="P61" s="57"/>
      <c r="Q61" s="15"/>
      <c r="R61" s="57"/>
      <c r="S61" s="15"/>
      <c r="T61" s="57"/>
      <c r="U61" s="15"/>
      <c r="V61" s="57"/>
      <c r="W61" s="15"/>
      <c r="X61" s="57"/>
      <c r="Y61" s="15"/>
      <c r="Z61" s="57"/>
      <c r="AA61" s="15"/>
    </row>
    <row r="62" spans="2:17" ht="12.75">
      <c r="B62" s="31"/>
      <c r="C62" s="105"/>
      <c r="D62" s="85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ht="12.75">
      <c r="B63" s="31"/>
    </row>
    <row r="64" spans="2:9" ht="12.75" customHeight="1">
      <c r="B64" s="31"/>
      <c r="C64" s="252" t="str">
        <f>$B$4&amp;" "&amp;$B$5</f>
        <v>Men A</v>
      </c>
      <c r="D64" s="253"/>
      <c r="E64" s="254"/>
      <c r="F64" s="32"/>
      <c r="G64" s="5"/>
      <c r="H64" s="5"/>
      <c r="I64" s="6"/>
    </row>
    <row r="65" spans="2:9" ht="12.75" customHeight="1">
      <c r="B65" s="31" t="s">
        <v>87</v>
      </c>
      <c r="C65" s="255"/>
      <c r="D65" s="256"/>
      <c r="E65" s="257"/>
      <c r="F65" s="97" t="s">
        <v>32</v>
      </c>
      <c r="G65" s="10" t="str">
        <f>$G$12</f>
        <v>Team</v>
      </c>
      <c r="H65" s="10" t="str">
        <f>$H$12</f>
        <v>City</v>
      </c>
      <c r="I65" s="11" t="str">
        <f>$I$12</f>
        <v>Country</v>
      </c>
    </row>
    <row r="66" spans="2:9" ht="12.75">
      <c r="B66" s="146">
        <v>1</v>
      </c>
      <c r="C66" s="32"/>
      <c r="D66" s="25" t="s">
        <v>64</v>
      </c>
      <c r="E66" s="136">
        <f>$B$66</f>
        <v>1</v>
      </c>
      <c r="F66" s="71" t="str">
        <f aca="true" t="shared" si="0" ref="F66:F73">$B$6&amp;E66</f>
        <v>AA1</v>
      </c>
      <c r="G66" s="5" t="str">
        <f>R57</f>
        <v>W1201 (no. 1)</v>
      </c>
      <c r="H66" s="5" t="e">
        <f aca="true" t="shared" si="1" ref="H66:H73">VLOOKUP(G66,$G$13:$I$20,2,FALSE)</f>
        <v>#N/A</v>
      </c>
      <c r="I66" s="6" t="e">
        <f aca="true" t="shared" si="2" ref="I66:I73">VLOOKUP(G66,$G$13:$I$20,3,FALSE)</f>
        <v>#N/A</v>
      </c>
    </row>
    <row r="67" spans="2:9" ht="12.75">
      <c r="B67" s="31"/>
      <c r="C67" s="40"/>
      <c r="D67" s="41" t="s">
        <v>65</v>
      </c>
      <c r="E67" s="137">
        <f aca="true" t="shared" si="3" ref="E67:E73">E66+1</f>
        <v>2</v>
      </c>
      <c r="F67" s="97" t="str">
        <f t="shared" si="0"/>
        <v>AA2</v>
      </c>
      <c r="G67" s="10" t="str">
        <f>S57</f>
        <v>L1201 (no. 2)</v>
      </c>
      <c r="H67" s="10" t="e">
        <f t="shared" si="1"/>
        <v>#N/A</v>
      </c>
      <c r="I67" s="11" t="e">
        <f t="shared" si="2"/>
        <v>#N/A</v>
      </c>
    </row>
    <row r="68" spans="2:9" ht="12.75">
      <c r="B68" s="31"/>
      <c r="C68" s="40"/>
      <c r="D68" s="41" t="s">
        <v>66</v>
      </c>
      <c r="E68" s="137">
        <f t="shared" si="3"/>
        <v>3</v>
      </c>
      <c r="F68" s="97" t="str">
        <f t="shared" si="0"/>
        <v>AA3</v>
      </c>
      <c r="G68" s="10" t="str">
        <f>R54</f>
        <v>W1001 (no. 3)</v>
      </c>
      <c r="H68" s="10" t="e">
        <f t="shared" si="1"/>
        <v>#N/A</v>
      </c>
      <c r="I68" s="11" t="e">
        <f t="shared" si="2"/>
        <v>#N/A</v>
      </c>
    </row>
    <row r="69" spans="2:9" ht="12.75">
      <c r="B69" s="31"/>
      <c r="C69" s="40"/>
      <c r="D69" s="41"/>
      <c r="E69" s="137">
        <f t="shared" si="3"/>
        <v>4</v>
      </c>
      <c r="F69" s="97" t="str">
        <f t="shared" si="0"/>
        <v>AA4</v>
      </c>
      <c r="G69" s="10" t="str">
        <f>S54</f>
        <v>L1001 (no. 4)</v>
      </c>
      <c r="H69" s="10" t="e">
        <f t="shared" si="1"/>
        <v>#N/A</v>
      </c>
      <c r="I69" s="11" t="e">
        <f t="shared" si="2"/>
        <v>#N/A</v>
      </c>
    </row>
    <row r="70" spans="2:9" ht="12.75">
      <c r="B70" s="31"/>
      <c r="C70" s="40"/>
      <c r="D70" s="41"/>
      <c r="E70" s="137">
        <f t="shared" si="3"/>
        <v>5</v>
      </c>
      <c r="F70" s="97" t="str">
        <f t="shared" si="0"/>
        <v>AA5</v>
      </c>
      <c r="G70" s="10" t="str">
        <f>R46</f>
        <v>W908 (no. 5)</v>
      </c>
      <c r="H70" s="10" t="e">
        <f t="shared" si="1"/>
        <v>#N/A</v>
      </c>
      <c r="I70" s="11" t="e">
        <f t="shared" si="2"/>
        <v>#N/A</v>
      </c>
    </row>
    <row r="71" spans="2:9" ht="12.75">
      <c r="B71" s="31"/>
      <c r="C71" s="40"/>
      <c r="D71" s="41"/>
      <c r="E71" s="137">
        <f t="shared" si="3"/>
        <v>6</v>
      </c>
      <c r="F71" s="97" t="str">
        <f t="shared" si="0"/>
        <v>AA6</v>
      </c>
      <c r="G71" s="10" t="str">
        <f>S46</f>
        <v>L908 (no. 6)</v>
      </c>
      <c r="H71" s="10" t="e">
        <f t="shared" si="1"/>
        <v>#N/A</v>
      </c>
      <c r="I71" s="11" t="e">
        <f t="shared" si="2"/>
        <v>#N/A</v>
      </c>
    </row>
    <row r="72" spans="2:9" ht="12.75">
      <c r="B72" s="31"/>
      <c r="C72" s="40"/>
      <c r="D72" s="41"/>
      <c r="E72" s="137">
        <f t="shared" si="3"/>
        <v>7</v>
      </c>
      <c r="F72" s="97" t="str">
        <f t="shared" si="0"/>
        <v>AA7</v>
      </c>
      <c r="G72" s="10" t="str">
        <f>R44</f>
        <v>W907 (no. 7)</v>
      </c>
      <c r="H72" s="10" t="e">
        <f t="shared" si="1"/>
        <v>#N/A</v>
      </c>
      <c r="I72" s="11" t="e">
        <f t="shared" si="2"/>
        <v>#N/A</v>
      </c>
    </row>
    <row r="73" spans="2:9" ht="12.75">
      <c r="B73" s="31"/>
      <c r="C73" s="57"/>
      <c r="D73" s="27"/>
      <c r="E73" s="138">
        <f t="shared" si="3"/>
        <v>8</v>
      </c>
      <c r="F73" s="73" t="str">
        <f t="shared" si="0"/>
        <v>AA8</v>
      </c>
      <c r="G73" s="14" t="str">
        <f>S44</f>
        <v>L907 (no. 8)</v>
      </c>
      <c r="H73" s="14" t="e">
        <f t="shared" si="1"/>
        <v>#N/A</v>
      </c>
      <c r="I73" s="15" t="e">
        <f t="shared" si="2"/>
        <v>#N/A</v>
      </c>
    </row>
    <row r="74" ht="12.75">
      <c r="B74" s="31"/>
    </row>
  </sheetData>
  <mergeCells count="21">
    <mergeCell ref="C4:F6"/>
    <mergeCell ref="C7:F8"/>
    <mergeCell ref="T23:U23"/>
    <mergeCell ref="V23:W23"/>
    <mergeCell ref="C11:F12"/>
    <mergeCell ref="C64:E65"/>
    <mergeCell ref="J23:K23"/>
    <mergeCell ref="L23:M23"/>
    <mergeCell ref="J51:K51"/>
    <mergeCell ref="L51:M51"/>
    <mergeCell ref="F49:I49"/>
    <mergeCell ref="X51:Y51"/>
    <mergeCell ref="Z51:AA51"/>
    <mergeCell ref="G60:H60"/>
    <mergeCell ref="X23:Y23"/>
    <mergeCell ref="N51:O51"/>
    <mergeCell ref="P51:Q51"/>
    <mergeCell ref="T51:U51"/>
    <mergeCell ref="V51:W51"/>
    <mergeCell ref="N23:O23"/>
    <mergeCell ref="P23:Q23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62" min="2" max="18" man="1"/>
  </rowBreaks>
  <colBreaks count="1" manualBreakCount="1">
    <brk id="17" min="3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4"/>
  <sheetViews>
    <sheetView zoomScale="75" zoomScaleNormal="75" workbookViewId="0" topLeftCell="A1">
      <selection activeCell="G16" sqref="G16:I16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B</v>
      </c>
      <c r="D4" s="261"/>
      <c r="E4" s="261"/>
      <c r="F4" s="262"/>
      <c r="G4" s="5"/>
      <c r="H4" s="17" t="str">
        <f>$A$8&amp;":"</f>
        <v>Venue:</v>
      </c>
      <c r="I4" s="6" t="str">
        <f>$B$8</f>
        <v>OSG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67</v>
      </c>
      <c r="C5" s="263"/>
      <c r="D5" s="264"/>
      <c r="E5" s="264"/>
      <c r="F5" s="265"/>
      <c r="G5" s="10"/>
      <c r="H5" s="19" t="str">
        <f>$A$9&amp;":"</f>
        <v>Court:</v>
      </c>
      <c r="I5" s="20">
        <f>$B$9</f>
        <v>11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89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0.375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tr">
        <f>$B$40&amp;" - "&amp;$B$40+3&amp;" ranking"</f>
        <v>13 - 16 ranking</v>
      </c>
      <c r="D7" s="267"/>
      <c r="E7" s="267"/>
      <c r="F7" s="268"/>
      <c r="G7" s="140"/>
      <c r="H7" s="25" t="str">
        <f>"Each match consists of 2 sets of at most "&amp;$B$13&amp;" points."</f>
        <v>Each match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74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11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0.375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1</v>
      </c>
      <c r="C11" s="272" t="str">
        <f>$A$6&amp;" "&amp;$B$6</f>
        <v>Group BC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131</v>
      </c>
      <c r="H13" s="5" t="s">
        <v>132</v>
      </c>
      <c r="I13" s="6" t="s">
        <v>120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133</v>
      </c>
      <c r="H14" s="10" t="s">
        <v>134</v>
      </c>
      <c r="I14" s="11" t="s">
        <v>120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251</v>
      </c>
      <c r="H15" s="10" t="s">
        <v>252</v>
      </c>
      <c r="I15" s="11" t="s">
        <v>151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2.75">
      <c r="B16" s="3"/>
      <c r="C16" s="57"/>
      <c r="D16" s="14"/>
      <c r="E16" s="14"/>
      <c r="F16" s="39"/>
      <c r="G16" s="57" t="s">
        <v>260</v>
      </c>
      <c r="H16" s="14" t="s">
        <v>210</v>
      </c>
      <c r="I16" s="15" t="s">
        <v>192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3:39" s="65" customFormat="1" ht="12.75">
      <c r="C17" s="19"/>
      <c r="D17" s="66"/>
      <c r="E17" s="66"/>
      <c r="F17" s="67"/>
      <c r="G17" s="68"/>
      <c r="H17" s="66"/>
      <c r="I17" s="66"/>
      <c r="J17" s="69"/>
      <c r="K17" s="69"/>
      <c r="L17" s="69"/>
      <c r="M17" s="69"/>
      <c r="N17" s="69"/>
      <c r="O17" s="69"/>
      <c r="P17" s="69"/>
      <c r="Q17" s="19"/>
      <c r="AA17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3:39" s="65" customFormat="1" ht="12.75">
      <c r="C18" s="19"/>
      <c r="D18" s="66"/>
      <c r="E18" s="66"/>
      <c r="F18" s="67"/>
      <c r="G18" s="68"/>
      <c r="H18" s="66"/>
      <c r="I18" s="66"/>
      <c r="J18" s="69"/>
      <c r="K18" s="69"/>
      <c r="L18" s="69"/>
      <c r="M18" s="69"/>
      <c r="N18" s="69"/>
      <c r="O18" s="69"/>
      <c r="P18" s="69"/>
      <c r="Q18" s="1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3:35" ht="12.75">
      <c r="C19" s="32"/>
      <c r="D19" s="5"/>
      <c r="E19" s="5"/>
      <c r="F19" s="5"/>
      <c r="G19" s="5"/>
      <c r="H19" s="5"/>
      <c r="I19" s="6"/>
      <c r="J19" s="249" t="s">
        <v>39</v>
      </c>
      <c r="K19" s="250"/>
      <c r="L19" s="249" t="s">
        <v>40</v>
      </c>
      <c r="M19" s="250"/>
      <c r="N19" s="249" t="s">
        <v>78</v>
      </c>
      <c r="O19" s="250"/>
      <c r="P19" s="249" t="s">
        <v>31</v>
      </c>
      <c r="Q19" s="250"/>
      <c r="R19" s="32"/>
      <c r="S19" s="6"/>
      <c r="T19" s="249" t="s">
        <v>39</v>
      </c>
      <c r="U19" s="250"/>
      <c r="V19" s="249" t="s">
        <v>40</v>
      </c>
      <c r="W19" s="250"/>
      <c r="X19" s="249" t="s">
        <v>24</v>
      </c>
      <c r="Y19" s="250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3:25" ht="12.75">
      <c r="C20" s="73" t="s">
        <v>18</v>
      </c>
      <c r="D20" s="74" t="s">
        <v>43</v>
      </c>
      <c r="E20" s="74" t="s">
        <v>17</v>
      </c>
      <c r="F20" s="75" t="s">
        <v>44</v>
      </c>
      <c r="G20" s="76" t="s">
        <v>45</v>
      </c>
      <c r="H20" s="77" t="s">
        <v>46</v>
      </c>
      <c r="I20" s="78" t="s">
        <v>47</v>
      </c>
      <c r="J20" s="79" t="s">
        <v>48</v>
      </c>
      <c r="K20" s="80" t="s">
        <v>49</v>
      </c>
      <c r="L20" s="79" t="s">
        <v>48</v>
      </c>
      <c r="M20" s="80" t="s">
        <v>49</v>
      </c>
      <c r="N20" s="79" t="s">
        <v>48</v>
      </c>
      <c r="O20" s="80" t="s">
        <v>49</v>
      </c>
      <c r="P20" s="81" t="s">
        <v>48</v>
      </c>
      <c r="Q20" s="82" t="s">
        <v>49</v>
      </c>
      <c r="R20" s="57" t="s">
        <v>79</v>
      </c>
      <c r="S20" s="15" t="s">
        <v>80</v>
      </c>
      <c r="T20" s="79" t="s">
        <v>48</v>
      </c>
      <c r="U20" s="80" t="s">
        <v>49</v>
      </c>
      <c r="V20" s="79" t="s">
        <v>48</v>
      </c>
      <c r="W20" s="80" t="s">
        <v>49</v>
      </c>
      <c r="X20" s="79" t="s">
        <v>48</v>
      </c>
      <c r="Y20" s="80" t="s">
        <v>49</v>
      </c>
    </row>
    <row r="21" spans="3:25" ht="12.75">
      <c r="C21" s="71"/>
      <c r="D21" s="25"/>
      <c r="E21" s="25"/>
      <c r="F21" s="25"/>
      <c r="G21" s="5"/>
      <c r="H21" s="5"/>
      <c r="I21" s="6"/>
      <c r="J21" s="71"/>
      <c r="K21" s="72"/>
      <c r="L21" s="71"/>
      <c r="M21" s="72"/>
      <c r="N21" s="83"/>
      <c r="O21" s="17"/>
      <c r="P21" s="71"/>
      <c r="Q21" s="72"/>
      <c r="R21" s="32"/>
      <c r="S21" s="6"/>
      <c r="T21" s="32"/>
      <c r="U21" s="6"/>
      <c r="V21" s="32"/>
      <c r="W21" s="6"/>
      <c r="X21" s="40"/>
      <c r="Y21" s="11"/>
    </row>
    <row r="22" spans="3:25" ht="12.75">
      <c r="C22" s="84">
        <f>$B$10+(D22-$B$11)*($B$12/60/24+TIME(0,5,0))</f>
        <v>0.375</v>
      </c>
      <c r="D22" s="85">
        <f>$B$11</f>
        <v>1</v>
      </c>
      <c r="E22" s="85">
        <f>$B$9</f>
        <v>11</v>
      </c>
      <c r="F22" s="85">
        <f>$E22+$D22*100</f>
        <v>111</v>
      </c>
      <c r="G22" s="86" t="str">
        <f>G13</f>
        <v>Rosa Trajectum</v>
      </c>
      <c r="H22" s="86" t="str">
        <f>G16</f>
        <v>Break Out</v>
      </c>
      <c r="I22" s="87" t="str">
        <f>G15</f>
        <v>Gatevolley</v>
      </c>
      <c r="J22" s="88"/>
      <c r="K22" s="87"/>
      <c r="L22" s="88"/>
      <c r="M22" s="87"/>
      <c r="N22" s="188">
        <f>SUM(J22,L22)</f>
        <v>0</v>
      </c>
      <c r="O22" s="189">
        <f>SUM(K22,M22)</f>
        <v>0</v>
      </c>
      <c r="P22" s="190">
        <f>SUM(T22,V22)</f>
        <v>2</v>
      </c>
      <c r="Q22" s="191">
        <f>SUM(U22,W22)</f>
        <v>2</v>
      </c>
      <c r="R22" s="40" t="str">
        <f>IF(P22&gt;Q22,G22,IF(P22&lt;Q22,H22,IF(N22&gt;O22,G22,IF(N22&lt;O22,H22,IF(X22&gt;Y22,G22,IF(X22&lt;Y22,H22,"W"&amp;F22&amp;" (no. 1 - 2)"))))))</f>
        <v>W111 (no. 1 - 2)</v>
      </c>
      <c r="S22" s="11" t="str">
        <f>IF(P22&gt;Q22,H22,IF(P22&lt;Q22,G22,IF(N22&gt;O22,H22,IF(N22&lt;O22,G22,IF(X22&gt;Y22,H22,IF(X22&lt;Y22,G22,"L"&amp;F22&amp;" (no. 3 - 4)"))))))</f>
        <v>L111 (no. 3 - 4)</v>
      </c>
      <c r="T22" s="51">
        <f>IF(J22&gt;K22,2,IF(J22=K22,1,0))</f>
        <v>1</v>
      </c>
      <c r="U22" s="53">
        <f>IF(K22&gt;J22,2,IF(K22=J22,1,0))</f>
        <v>1</v>
      </c>
      <c r="V22" s="51">
        <f>IF(L22&gt;M22,2,IF(L22=M22,1,0))</f>
        <v>1</v>
      </c>
      <c r="W22" s="53">
        <f>IF(M22&gt;L22,2,IF(M22=L22,1,0))</f>
        <v>1</v>
      </c>
      <c r="X22" s="40"/>
      <c r="Y22" s="11"/>
    </row>
    <row r="23" spans="2:25" ht="12.75">
      <c r="B23" s="31"/>
      <c r="C23" s="84"/>
      <c r="D23" s="85"/>
      <c r="E23" s="85"/>
      <c r="F23" s="85"/>
      <c r="G23" s="30"/>
      <c r="H23" s="30"/>
      <c r="I23" s="87"/>
      <c r="J23" s="92"/>
      <c r="K23" s="93"/>
      <c r="L23" s="92"/>
      <c r="M23" s="93"/>
      <c r="N23" s="188"/>
      <c r="O23" s="189"/>
      <c r="P23" s="190"/>
      <c r="Q23" s="191"/>
      <c r="R23" s="40"/>
      <c r="S23" s="11"/>
      <c r="T23" s="51"/>
      <c r="U23" s="53"/>
      <c r="V23" s="51"/>
      <c r="W23" s="53"/>
      <c r="X23" s="40"/>
      <c r="Y23" s="11"/>
    </row>
    <row r="24" spans="2:25" ht="12.75">
      <c r="B24" s="31"/>
      <c r="C24" s="84">
        <f>$B$10+(D24-$B$11)*($B$12/60/24+TIME(0,5,0))</f>
        <v>0.4027777777777778</v>
      </c>
      <c r="D24" s="145">
        <f>$B$11+1</f>
        <v>2</v>
      </c>
      <c r="E24" s="85">
        <f>$B$9</f>
        <v>11</v>
      </c>
      <c r="F24" s="85">
        <f>$E24+$D24*100</f>
        <v>211</v>
      </c>
      <c r="G24" s="30" t="str">
        <f>G15</f>
        <v>Gatevolley</v>
      </c>
      <c r="H24" s="30" t="str">
        <f>G14</f>
        <v>Rotterdam Cabin Boys</v>
      </c>
      <c r="I24" s="87" t="str">
        <f>G13</f>
        <v>Rosa Trajectum</v>
      </c>
      <c r="J24" s="92"/>
      <c r="K24" s="93"/>
      <c r="L24" s="92"/>
      <c r="M24" s="93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1 - 2)"))))))</f>
        <v>W211 (no. 1 - 2)</v>
      </c>
      <c r="S24" s="11" t="str">
        <f>IF(P24&gt;Q24,H24,IF(P24&lt;Q24,G24,IF(N24&gt;O24,H24,IF(N24&lt;O24,G24,IF(X24&gt;Y24,H24,IF(X24&lt;Y24,G24,"L"&amp;F24&amp;" (no. 3 - 4)"))))))</f>
        <v>L211 (no. 3 - 4)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2:25" ht="12.75">
      <c r="B25" s="31"/>
      <c r="C25" s="84"/>
      <c r="D25" s="85"/>
      <c r="E25" s="85"/>
      <c r="F25" s="85"/>
      <c r="G25" s="30"/>
      <c r="H25" s="30"/>
      <c r="I25" s="87"/>
      <c r="J25" s="92"/>
      <c r="K25" s="93"/>
      <c r="L25" s="92"/>
      <c r="M25" s="93"/>
      <c r="N25" s="169"/>
      <c r="O25" s="85"/>
      <c r="P25" s="99"/>
      <c r="Q25" s="100"/>
      <c r="R25" s="57"/>
      <c r="S25" s="15"/>
      <c r="T25" s="99"/>
      <c r="U25" s="100"/>
      <c r="V25" s="99"/>
      <c r="W25" s="100"/>
      <c r="X25" s="57"/>
      <c r="Y25" s="15"/>
    </row>
    <row r="26" spans="3:25" ht="12.75">
      <c r="C26" s="71"/>
      <c r="D26" s="25"/>
      <c r="E26" s="25"/>
      <c r="F26" s="25"/>
      <c r="G26" s="5"/>
      <c r="H26" s="5"/>
      <c r="I26" s="6"/>
      <c r="J26" s="71"/>
      <c r="K26" s="72"/>
      <c r="L26" s="71"/>
      <c r="M26" s="72"/>
      <c r="N26" s="71"/>
      <c r="O26" s="25"/>
      <c r="P26" s="71"/>
      <c r="Q26" s="72"/>
      <c r="R26" s="32"/>
      <c r="S26" s="6"/>
      <c r="T26" s="32"/>
      <c r="U26" s="6"/>
      <c r="V26" s="32"/>
      <c r="W26" s="6"/>
      <c r="X26" s="32"/>
      <c r="Y26" s="6"/>
    </row>
    <row r="27" spans="1:25" ht="12.75">
      <c r="A27" s="147"/>
      <c r="B27" s="143"/>
      <c r="C27" s="84">
        <f>$B$10+(D27-$B$11)*($B$12/60/24+TIME(0,5,0))</f>
        <v>0.4305555555555556</v>
      </c>
      <c r="D27" s="85">
        <f>$B$11+2</f>
        <v>3</v>
      </c>
      <c r="E27" s="85">
        <f>$B$9</f>
        <v>11</v>
      </c>
      <c r="F27" s="85">
        <f>$E27+$D27*100</f>
        <v>311</v>
      </c>
      <c r="G27" s="148" t="str">
        <f>S24</f>
        <v>L211 (no. 3 - 4)</v>
      </c>
      <c r="H27" s="148" t="str">
        <f>S22</f>
        <v>L111 (no. 3 - 4)</v>
      </c>
      <c r="I27" s="149" t="str">
        <f>R22</f>
        <v>W111 (no. 1 - 2)</v>
      </c>
      <c r="J27" s="88"/>
      <c r="K27" s="87"/>
      <c r="L27" s="88"/>
      <c r="M27" s="87"/>
      <c r="N27" s="188">
        <f>SUM(J27,L27)</f>
        <v>0</v>
      </c>
      <c r="O27" s="189">
        <f>SUM(K27,M27)</f>
        <v>0</v>
      </c>
      <c r="P27" s="190">
        <f>SUM(T27,V27)</f>
        <v>2</v>
      </c>
      <c r="Q27" s="191">
        <f>SUM(U27,W27)</f>
        <v>2</v>
      </c>
      <c r="R27" s="40" t="str">
        <f>IF(P27&gt;Q27,G27,IF(P27&lt;Q27,H27,IF(N27&gt;O27,G27,IF(N27&lt;O27,H27,IF(X27&gt;Y27,G27,IF(X27&lt;Y27,H27,"W"&amp;F27&amp;" (no. 3)"))))))</f>
        <v>W311 (no. 3)</v>
      </c>
      <c r="S27" s="11" t="str">
        <f>IF(P27&gt;Q27,H27,IF(P27&lt;Q27,G27,IF(N27&gt;O27,H27,IF(N27&lt;O27,G27,IF(X27&gt;Y27,H27,IF(X27&lt;Y27,G27,"L"&amp;F27&amp;" (no. 4)"))))))</f>
        <v>L311 (no. 4)</v>
      </c>
      <c r="T27" s="51">
        <f>IF(J27&gt;K27,2,IF(J27=K27,1,0))</f>
        <v>1</v>
      </c>
      <c r="U27" s="53">
        <f>IF(K27&gt;J27,2,IF(K27=J27,1,0))</f>
        <v>1</v>
      </c>
      <c r="V27" s="51">
        <f>IF(L27&gt;M27,2,IF(L27=M27,1,0))</f>
        <v>1</v>
      </c>
      <c r="W27" s="53">
        <f>IF(M27&gt;L27,2,IF(M27=L27,1,0))</f>
        <v>1</v>
      </c>
      <c r="X27" s="40"/>
      <c r="Y27" s="11"/>
    </row>
    <row r="28" spans="1:25" ht="24.75" customHeight="1">
      <c r="A28" s="147"/>
      <c r="B28" s="143"/>
      <c r="C28" s="84"/>
      <c r="D28" s="85"/>
      <c r="E28" s="159"/>
      <c r="F28" s="159"/>
      <c r="G28" s="237"/>
      <c r="H28" s="237"/>
      <c r="I28" s="238"/>
      <c r="J28" s="88"/>
      <c r="K28" s="87"/>
      <c r="L28" s="88"/>
      <c r="M28" s="87"/>
      <c r="N28" s="188"/>
      <c r="O28" s="189"/>
      <c r="P28" s="190"/>
      <c r="Q28" s="191"/>
      <c r="R28" s="40"/>
      <c r="S28" s="11"/>
      <c r="T28" s="51"/>
      <c r="U28" s="53"/>
      <c r="V28" s="51"/>
      <c r="W28" s="53"/>
      <c r="X28" s="40"/>
      <c r="Y28" s="11"/>
    </row>
    <row r="29" spans="1:25" ht="12.75">
      <c r="A29" s="143"/>
      <c r="B29" s="142"/>
      <c r="C29" s="84"/>
      <c r="D29" s="145"/>
      <c r="E29" s="152"/>
      <c r="F29" s="145"/>
      <c r="G29" s="150"/>
      <c r="H29" s="150"/>
      <c r="I29" s="151"/>
      <c r="J29" s="92"/>
      <c r="K29" s="93"/>
      <c r="L29" s="92"/>
      <c r="M29" s="93"/>
      <c r="N29" s="188"/>
      <c r="O29" s="189"/>
      <c r="P29" s="190"/>
      <c r="Q29" s="191"/>
      <c r="R29" s="40"/>
      <c r="S29" s="11"/>
      <c r="T29" s="51"/>
      <c r="U29" s="53"/>
      <c r="V29" s="51"/>
      <c r="W29" s="53"/>
      <c r="X29" s="40"/>
      <c r="Y29" s="11"/>
    </row>
    <row r="30" spans="1:25" ht="12.75">
      <c r="A30" s="143"/>
      <c r="B30" s="142"/>
      <c r="C30" s="84">
        <f>$B$10+(D30-$B$11)*($B$12/60/24+TIME(0,5,0))</f>
        <v>0.4583333333333333</v>
      </c>
      <c r="D30" s="85">
        <f>$B$11+3</f>
        <v>4</v>
      </c>
      <c r="E30" s="85">
        <f>$B$9</f>
        <v>11</v>
      </c>
      <c r="F30" s="85">
        <f>$E30+$D30*100</f>
        <v>411</v>
      </c>
      <c r="G30" s="144" t="str">
        <f>R22</f>
        <v>W111 (no. 1 - 2)</v>
      </c>
      <c r="H30" s="144" t="str">
        <f>R24</f>
        <v>W211 (no. 1 - 2)</v>
      </c>
      <c r="I30" s="151" t="str">
        <f>S24</f>
        <v>L211 (no. 3 - 4)</v>
      </c>
      <c r="J30" s="92"/>
      <c r="K30" s="93"/>
      <c r="L30" s="92"/>
      <c r="M30" s="93"/>
      <c r="N30" s="188">
        <f>SUM(J30,L30)</f>
        <v>0</v>
      </c>
      <c r="O30" s="189">
        <f>SUM(K30,M30)</f>
        <v>0</v>
      </c>
      <c r="P30" s="190">
        <f>SUM(T30,V30)</f>
        <v>2</v>
      </c>
      <c r="Q30" s="191">
        <f>SUM(U30,W30)</f>
        <v>2</v>
      </c>
      <c r="R30" s="40" t="str">
        <f>IF(P30&gt;Q30,G30,IF(P30&lt;Q30,H30,IF(N30&gt;O30,G30,IF(N30&lt;O30,H30,IF(X30&gt;Y30,G30,IF(X30&lt;Y30,H30,"W"&amp;F30&amp;" (no. 1)"))))))</f>
        <v>W411 (no. 1)</v>
      </c>
      <c r="S30" s="11" t="str">
        <f>IF(P30&gt;Q30,H30,IF(P30&lt;Q30,G30,IF(N30&gt;O30,H30,IF(N30&lt;O30,G30,IF(X30&gt;Y30,H30,IF(X30&lt;Y30,G30,"L"&amp;F30&amp;" (no. 2)"))))))</f>
        <v>L411 (no. 2)</v>
      </c>
      <c r="T30" s="51">
        <f>IF(J30&gt;K30,2,IF(J30=K30,1,0))</f>
        <v>1</v>
      </c>
      <c r="U30" s="53">
        <f>IF(K30&gt;J30,2,IF(K30=J30,1,0))</f>
        <v>1</v>
      </c>
      <c r="V30" s="51">
        <f>IF(L30&gt;M30,2,IF(L30=M30,1,0))</f>
        <v>1</v>
      </c>
      <c r="W30" s="53">
        <f>IF(M30&gt;L30,2,IF(M30=L30,1,0))</f>
        <v>1</v>
      </c>
      <c r="X30" s="40"/>
      <c r="Y30" s="11"/>
    </row>
    <row r="31" spans="1:25" ht="24.75" customHeight="1">
      <c r="A31" s="143"/>
      <c r="B31" s="142"/>
      <c r="C31" s="84"/>
      <c r="D31" s="85"/>
      <c r="E31" s="159"/>
      <c r="F31" s="159"/>
      <c r="G31" s="235"/>
      <c r="H31" s="235"/>
      <c r="I31" s="236"/>
      <c r="J31" s="92"/>
      <c r="K31" s="93"/>
      <c r="L31" s="92"/>
      <c r="M31" s="93"/>
      <c r="N31" s="188"/>
      <c r="O31" s="189"/>
      <c r="P31" s="190"/>
      <c r="Q31" s="191"/>
      <c r="R31" s="40"/>
      <c r="S31" s="11"/>
      <c r="T31" s="51"/>
      <c r="U31" s="53"/>
      <c r="V31" s="51"/>
      <c r="W31" s="53"/>
      <c r="X31" s="40"/>
      <c r="Y31" s="11"/>
    </row>
    <row r="32" spans="3:25" ht="12.75">
      <c r="C32" s="84"/>
      <c r="D32" s="85"/>
      <c r="E32" s="85"/>
      <c r="F32" s="85"/>
      <c r="G32" s="86"/>
      <c r="H32" s="86"/>
      <c r="I32" s="87"/>
      <c r="J32" s="88"/>
      <c r="K32" s="87"/>
      <c r="L32" s="88"/>
      <c r="M32" s="87"/>
      <c r="N32" s="89"/>
      <c r="O32" s="90"/>
      <c r="P32" s="99"/>
      <c r="Q32" s="100"/>
      <c r="R32" s="40"/>
      <c r="S32" s="11"/>
      <c r="T32" s="51"/>
      <c r="U32" s="53"/>
      <c r="V32" s="51"/>
      <c r="W32" s="53"/>
      <c r="X32" s="40"/>
      <c r="Y32" s="11"/>
    </row>
    <row r="33" spans="3:25" ht="12.75" customHeight="1">
      <c r="C33" s="84">
        <f>$B$10+(D33-$B$11)*($B$12/60/24+TIME(0,5,0))</f>
        <v>0.4861111111111111</v>
      </c>
      <c r="D33" s="201">
        <f>$B$11+4</f>
        <v>5</v>
      </c>
      <c r="E33" s="102" t="s">
        <v>51</v>
      </c>
      <c r="F33" s="258" t="s">
        <v>98</v>
      </c>
      <c r="G33" s="258"/>
      <c r="H33" s="258"/>
      <c r="I33" s="259"/>
      <c r="J33" s="88"/>
      <c r="K33" s="87"/>
      <c r="L33" s="88"/>
      <c r="M33" s="87"/>
      <c r="N33" s="89"/>
      <c r="O33" s="90"/>
      <c r="P33" s="99"/>
      <c r="Q33" s="100"/>
      <c r="R33" s="40"/>
      <c r="S33" s="11"/>
      <c r="T33" s="51"/>
      <c r="U33" s="53"/>
      <c r="V33" s="51"/>
      <c r="W33" s="53"/>
      <c r="X33" s="40"/>
      <c r="Y33" s="11"/>
    </row>
    <row r="34" spans="3:25" ht="12.75" customHeight="1">
      <c r="C34" s="84"/>
      <c r="D34" s="85"/>
      <c r="E34" s="102"/>
      <c r="F34" s="258" t="s">
        <v>97</v>
      </c>
      <c r="G34" s="258"/>
      <c r="H34" s="258"/>
      <c r="I34" s="259"/>
      <c r="J34" s="88"/>
      <c r="K34" s="87"/>
      <c r="L34" s="88"/>
      <c r="M34" s="87"/>
      <c r="N34" s="89"/>
      <c r="O34" s="90"/>
      <c r="P34" s="99"/>
      <c r="Q34" s="100"/>
      <c r="R34" s="40"/>
      <c r="S34" s="11"/>
      <c r="T34" s="51"/>
      <c r="U34" s="53"/>
      <c r="V34" s="51"/>
      <c r="W34" s="53"/>
      <c r="X34" s="40"/>
      <c r="Y34" s="11"/>
    </row>
    <row r="35" spans="2:25" ht="12.75">
      <c r="B35" s="31"/>
      <c r="C35" s="158"/>
      <c r="D35" s="159"/>
      <c r="E35" s="159"/>
      <c r="F35" s="159"/>
      <c r="G35" s="160"/>
      <c r="H35" s="160"/>
      <c r="I35" s="161"/>
      <c r="J35" s="162"/>
      <c r="K35" s="163"/>
      <c r="L35" s="162"/>
      <c r="M35" s="163"/>
      <c r="N35" s="164"/>
      <c r="O35" s="165"/>
      <c r="P35" s="166"/>
      <c r="Q35" s="167"/>
      <c r="R35" s="57"/>
      <c r="S35" s="15"/>
      <c r="T35" s="166"/>
      <c r="U35" s="167"/>
      <c r="V35" s="166"/>
      <c r="W35" s="167"/>
      <c r="X35" s="57"/>
      <c r="Y35" s="15"/>
    </row>
    <row r="36" spans="2:17" ht="12.75">
      <c r="B36" s="31"/>
      <c r="C36" s="105"/>
      <c r="D36" s="8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ht="12.75">
      <c r="B37" s="31"/>
    </row>
    <row r="38" spans="2:9" ht="12.75" customHeight="1">
      <c r="B38" s="31"/>
      <c r="C38" s="252" t="str">
        <f>$B$4&amp;" "&amp;$B$5</f>
        <v>Men B</v>
      </c>
      <c r="D38" s="253"/>
      <c r="E38" s="254"/>
      <c r="F38" s="32"/>
      <c r="G38" s="5"/>
      <c r="H38" s="5"/>
      <c r="I38" s="6"/>
    </row>
    <row r="39" spans="2:9" ht="12.75" customHeight="1">
      <c r="B39" s="31" t="s">
        <v>87</v>
      </c>
      <c r="C39" s="255"/>
      <c r="D39" s="256"/>
      <c r="E39" s="257"/>
      <c r="F39" s="97" t="s">
        <v>32</v>
      </c>
      <c r="G39" s="10" t="str">
        <f>$G$12</f>
        <v>Team</v>
      </c>
      <c r="H39" s="10" t="str">
        <f>$H$12</f>
        <v>City</v>
      </c>
      <c r="I39" s="11" t="str">
        <f>$I$12</f>
        <v>Country</v>
      </c>
    </row>
    <row r="40" spans="2:9" ht="12.75">
      <c r="B40" s="146">
        <v>13</v>
      </c>
      <c r="C40" s="32"/>
      <c r="D40" s="25"/>
      <c r="E40" s="136">
        <f>$B$40</f>
        <v>13</v>
      </c>
      <c r="F40" s="71" t="str">
        <f>$B$6&amp;E40-$B$40+1</f>
        <v>BC1</v>
      </c>
      <c r="G40" s="5" t="str">
        <f>R30</f>
        <v>W411 (no. 1)</v>
      </c>
      <c r="H40" s="5" t="e">
        <f>VLOOKUP(G40,$G$13:$I$16,2,FALSE)</f>
        <v>#N/A</v>
      </c>
      <c r="I40" s="6" t="e">
        <f>VLOOKUP(G40,$G$13:$I$16,3,FALSE)</f>
        <v>#N/A</v>
      </c>
    </row>
    <row r="41" spans="2:9" ht="12.75">
      <c r="B41" s="31"/>
      <c r="C41" s="40"/>
      <c r="D41" s="41"/>
      <c r="E41" s="137">
        <f>E40+1</f>
        <v>14</v>
      </c>
      <c r="F41" s="97" t="str">
        <f>$B$6&amp;E41-$B$40+1</f>
        <v>BC2</v>
      </c>
      <c r="G41" s="10" t="str">
        <f>S30</f>
        <v>L411 (no. 2)</v>
      </c>
      <c r="H41" s="10" t="e">
        <f>VLOOKUP(G41,$G$13:$I$16,2,FALSE)</f>
        <v>#N/A</v>
      </c>
      <c r="I41" s="11" t="e">
        <f>VLOOKUP(G41,$G$13:$I$16,3,FALSE)</f>
        <v>#N/A</v>
      </c>
    </row>
    <row r="42" spans="2:9" ht="12.75">
      <c r="B42" s="31"/>
      <c r="C42" s="40"/>
      <c r="D42" s="41"/>
      <c r="E42" s="137">
        <f>E41+1</f>
        <v>15</v>
      </c>
      <c r="F42" s="97" t="str">
        <f>$B$6&amp;E42-$B$40+1</f>
        <v>BC3</v>
      </c>
      <c r="G42" s="10" t="str">
        <f>R27</f>
        <v>W311 (no. 3)</v>
      </c>
      <c r="H42" s="10" t="e">
        <f>VLOOKUP(G42,$G$13:$I$16,2,FALSE)</f>
        <v>#N/A</v>
      </c>
      <c r="I42" s="11" t="e">
        <f>VLOOKUP(G42,$G$13:$I$16,3,FALSE)</f>
        <v>#N/A</v>
      </c>
    </row>
    <row r="43" spans="2:9" ht="12.75">
      <c r="B43" s="31"/>
      <c r="C43" s="57"/>
      <c r="D43" s="27"/>
      <c r="E43" s="138">
        <f>E42+1</f>
        <v>16</v>
      </c>
      <c r="F43" s="73" t="str">
        <f>$B$6&amp;E43-$B$40+1</f>
        <v>BC4</v>
      </c>
      <c r="G43" s="14" t="str">
        <f>S27</f>
        <v>L311 (no. 4)</v>
      </c>
      <c r="H43" s="14" t="e">
        <f>VLOOKUP(G43,$G$13:$I$16,2,FALSE)</f>
        <v>#N/A</v>
      </c>
      <c r="I43" s="15" t="e">
        <f>VLOOKUP(G43,$G$13:$I$16,3,FALSE)</f>
        <v>#N/A</v>
      </c>
    </row>
    <row r="44" ht="12.75">
      <c r="B44" s="31"/>
    </row>
  </sheetData>
  <mergeCells count="13">
    <mergeCell ref="X19:Y19"/>
    <mergeCell ref="N19:O19"/>
    <mergeCell ref="P19:Q19"/>
    <mergeCell ref="C38:E39"/>
    <mergeCell ref="J19:K19"/>
    <mergeCell ref="L19:M19"/>
    <mergeCell ref="F33:I33"/>
    <mergeCell ref="F34:I34"/>
    <mergeCell ref="C4:F6"/>
    <mergeCell ref="C7:F8"/>
    <mergeCell ref="T19:U19"/>
    <mergeCell ref="V19:W19"/>
    <mergeCell ref="C11:F12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36" min="2" max="18" man="1"/>
  </rowBreaks>
  <colBreaks count="1" manualBreakCount="1">
    <brk id="17" min="3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44"/>
  <sheetViews>
    <sheetView zoomScale="75" zoomScaleNormal="75" workbookViewId="0" topLeftCell="A1">
      <selection activeCell="G16" sqref="G16:I16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B</v>
      </c>
      <c r="D4" s="261"/>
      <c r="E4" s="261"/>
      <c r="F4" s="262"/>
      <c r="G4" s="5"/>
      <c r="H4" s="17" t="str">
        <f>$A$8&amp;":"</f>
        <v>Venue:</v>
      </c>
      <c r="I4" s="6" t="str">
        <f>$B$8</f>
        <v>OSG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67</v>
      </c>
      <c r="C5" s="263"/>
      <c r="D5" s="264"/>
      <c r="E5" s="264"/>
      <c r="F5" s="265"/>
      <c r="G5" s="10"/>
      <c r="H5" s="19" t="str">
        <f>$A$9&amp;":"</f>
        <v>Court:</v>
      </c>
      <c r="I5" s="20">
        <f>$B$9</f>
        <v>12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91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0.375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tr">
        <f>$B$40&amp;" - "&amp;$B$40+3&amp;" ranking"</f>
        <v>17 - 20 ranking</v>
      </c>
      <c r="D7" s="267"/>
      <c r="E7" s="267"/>
      <c r="F7" s="268"/>
      <c r="G7" s="140"/>
      <c r="H7" s="25" t="str">
        <f>"Each match consists of 2 sets of at most "&amp;$B$13&amp;" points."</f>
        <v>Each match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74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12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0.375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1</v>
      </c>
      <c r="C11" s="272" t="str">
        <f>$A$6&amp;" "&amp;$B$6</f>
        <v>Group BD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135</v>
      </c>
      <c r="H13" s="5" t="s">
        <v>136</v>
      </c>
      <c r="I13" s="6" t="s">
        <v>137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138</v>
      </c>
      <c r="H14" s="10" t="s">
        <v>139</v>
      </c>
      <c r="I14" s="11" t="s">
        <v>120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253</v>
      </c>
      <c r="H15" s="10" t="s">
        <v>219</v>
      </c>
      <c r="I15" s="11" t="s">
        <v>220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2.75">
      <c r="B16" s="3"/>
      <c r="C16" s="57"/>
      <c r="D16" s="14"/>
      <c r="E16" s="14"/>
      <c r="F16" s="39"/>
      <c r="G16" s="57" t="s">
        <v>261</v>
      </c>
      <c r="H16" s="14" t="s">
        <v>219</v>
      </c>
      <c r="I16" s="15" t="s">
        <v>220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3:39" s="65" customFormat="1" ht="12.75">
      <c r="C17" s="19"/>
      <c r="D17" s="66"/>
      <c r="E17" s="66"/>
      <c r="F17" s="67"/>
      <c r="G17" s="68"/>
      <c r="H17" s="66"/>
      <c r="I17" s="66"/>
      <c r="J17" s="69"/>
      <c r="K17" s="69"/>
      <c r="L17" s="69"/>
      <c r="M17" s="69"/>
      <c r="N17" s="69"/>
      <c r="O17" s="69"/>
      <c r="P17" s="69"/>
      <c r="Q17" s="19"/>
      <c r="AA17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3:39" s="65" customFormat="1" ht="12.75">
      <c r="C18" s="19"/>
      <c r="D18" s="66"/>
      <c r="E18" s="66"/>
      <c r="F18" s="67"/>
      <c r="G18" s="68"/>
      <c r="H18" s="66"/>
      <c r="I18" s="66"/>
      <c r="J18" s="69"/>
      <c r="K18" s="69"/>
      <c r="L18" s="69"/>
      <c r="M18" s="69"/>
      <c r="N18" s="69"/>
      <c r="O18" s="69"/>
      <c r="P18" s="69"/>
      <c r="Q18" s="1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3:35" ht="12.75">
      <c r="C19" s="32"/>
      <c r="D19" s="5"/>
      <c r="E19" s="5"/>
      <c r="F19" s="5"/>
      <c r="G19" s="5"/>
      <c r="H19" s="5"/>
      <c r="I19" s="6"/>
      <c r="J19" s="249" t="s">
        <v>39</v>
      </c>
      <c r="K19" s="250"/>
      <c r="L19" s="249" t="s">
        <v>40</v>
      </c>
      <c r="M19" s="250"/>
      <c r="N19" s="249" t="s">
        <v>78</v>
      </c>
      <c r="O19" s="250"/>
      <c r="P19" s="249" t="s">
        <v>31</v>
      </c>
      <c r="Q19" s="250"/>
      <c r="R19" s="32"/>
      <c r="S19" s="6"/>
      <c r="T19" s="249" t="s">
        <v>39</v>
      </c>
      <c r="U19" s="250"/>
      <c r="V19" s="249" t="s">
        <v>40</v>
      </c>
      <c r="W19" s="250"/>
      <c r="X19" s="249" t="s">
        <v>24</v>
      </c>
      <c r="Y19" s="250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3:25" ht="12.75">
      <c r="C20" s="73" t="s">
        <v>18</v>
      </c>
      <c r="D20" s="74" t="s">
        <v>43</v>
      </c>
      <c r="E20" s="74" t="s">
        <v>17</v>
      </c>
      <c r="F20" s="75" t="s">
        <v>44</v>
      </c>
      <c r="G20" s="76" t="s">
        <v>45</v>
      </c>
      <c r="H20" s="77" t="s">
        <v>46</v>
      </c>
      <c r="I20" s="78" t="s">
        <v>47</v>
      </c>
      <c r="J20" s="79" t="s">
        <v>48</v>
      </c>
      <c r="K20" s="80" t="s">
        <v>49</v>
      </c>
      <c r="L20" s="79" t="s">
        <v>48</v>
      </c>
      <c r="M20" s="80" t="s">
        <v>49</v>
      </c>
      <c r="N20" s="79" t="s">
        <v>48</v>
      </c>
      <c r="O20" s="80" t="s">
        <v>49</v>
      </c>
      <c r="P20" s="81" t="s">
        <v>48</v>
      </c>
      <c r="Q20" s="82" t="s">
        <v>49</v>
      </c>
      <c r="R20" s="57" t="s">
        <v>79</v>
      </c>
      <c r="S20" s="15" t="s">
        <v>80</v>
      </c>
      <c r="T20" s="79" t="s">
        <v>48</v>
      </c>
      <c r="U20" s="80" t="s">
        <v>49</v>
      </c>
      <c r="V20" s="79" t="s">
        <v>48</v>
      </c>
      <c r="W20" s="80" t="s">
        <v>49</v>
      </c>
      <c r="X20" s="79" t="s">
        <v>48</v>
      </c>
      <c r="Y20" s="80" t="s">
        <v>49</v>
      </c>
    </row>
    <row r="21" spans="3:25" ht="12.75">
      <c r="C21" s="71"/>
      <c r="D21" s="25"/>
      <c r="E21" s="25"/>
      <c r="F21" s="25"/>
      <c r="G21" s="5"/>
      <c r="H21" s="5"/>
      <c r="I21" s="6"/>
      <c r="J21" s="71"/>
      <c r="K21" s="72"/>
      <c r="L21" s="71"/>
      <c r="M21" s="72"/>
      <c r="N21" s="83"/>
      <c r="O21" s="17"/>
      <c r="P21" s="71"/>
      <c r="Q21" s="72"/>
      <c r="R21" s="32"/>
      <c r="S21" s="6"/>
      <c r="T21" s="32"/>
      <c r="U21" s="6"/>
      <c r="V21" s="32"/>
      <c r="W21" s="6"/>
      <c r="X21" s="40"/>
      <c r="Y21" s="11"/>
    </row>
    <row r="22" spans="3:25" ht="12.75">
      <c r="C22" s="84">
        <f>$B$10+(D22-$B$11)*($B$12/60/24+TIME(0,5,0))</f>
        <v>0.375</v>
      </c>
      <c r="D22" s="85">
        <f>$B$11</f>
        <v>1</v>
      </c>
      <c r="E22" s="85">
        <f>$B$9</f>
        <v>12</v>
      </c>
      <c r="F22" s="85">
        <f>$E22+$D22*100</f>
        <v>112</v>
      </c>
      <c r="G22" s="86" t="str">
        <f>G13</f>
        <v>Schoggi Basel</v>
      </c>
      <c r="H22" s="86" t="str">
        <f>G16</f>
        <v>London Tigers</v>
      </c>
      <c r="I22" s="87" t="str">
        <f>G15</f>
        <v>Bethnal Boomers</v>
      </c>
      <c r="J22" s="88"/>
      <c r="K22" s="87"/>
      <c r="L22" s="88"/>
      <c r="M22" s="87"/>
      <c r="N22" s="188">
        <f>SUM(J22,L22)</f>
        <v>0</v>
      </c>
      <c r="O22" s="189">
        <f>SUM(K22,M22)</f>
        <v>0</v>
      </c>
      <c r="P22" s="190">
        <f>SUM(T22,V22)</f>
        <v>2</v>
      </c>
      <c r="Q22" s="191">
        <f>SUM(U22,W22)</f>
        <v>2</v>
      </c>
      <c r="R22" s="40" t="str">
        <f>IF(P22&gt;Q22,G22,IF(P22&lt;Q22,H22,IF(N22&gt;O22,G22,IF(N22&lt;O22,H22,IF(X22&gt;Y22,G22,IF(X22&lt;Y22,H22,"W"&amp;F22&amp;" (no. 1 - 2)"))))))</f>
        <v>W112 (no. 1 - 2)</v>
      </c>
      <c r="S22" s="11" t="str">
        <f>IF(P22&gt;Q22,H22,IF(P22&lt;Q22,G22,IF(N22&gt;O22,H22,IF(N22&lt;O22,G22,IF(X22&gt;Y22,H22,IF(X22&lt;Y22,G22,"L"&amp;F22&amp;" (no. 3 - 4)"))))))</f>
        <v>L112 (no. 3 - 4)</v>
      </c>
      <c r="T22" s="51">
        <f>IF(J22&gt;K22,2,IF(J22=K22,1,0))</f>
        <v>1</v>
      </c>
      <c r="U22" s="53">
        <f>IF(K22&gt;J22,2,IF(K22=J22,1,0))</f>
        <v>1</v>
      </c>
      <c r="V22" s="51">
        <f>IF(L22&gt;M22,2,IF(L22=M22,1,0))</f>
        <v>1</v>
      </c>
      <c r="W22" s="53">
        <f>IF(M22&gt;L22,2,IF(M22=L22,1,0))</f>
        <v>1</v>
      </c>
      <c r="X22" s="40"/>
      <c r="Y22" s="11"/>
    </row>
    <row r="23" spans="2:25" ht="12.75">
      <c r="B23" s="31"/>
      <c r="C23" s="84"/>
      <c r="D23" s="85"/>
      <c r="E23" s="85"/>
      <c r="F23" s="85"/>
      <c r="G23" s="30"/>
      <c r="H23" s="30"/>
      <c r="I23" s="87"/>
      <c r="J23" s="92"/>
      <c r="K23" s="93"/>
      <c r="L23" s="92"/>
      <c r="M23" s="93"/>
      <c r="N23" s="188"/>
      <c r="O23" s="189"/>
      <c r="P23" s="190"/>
      <c r="Q23" s="191"/>
      <c r="R23" s="40"/>
      <c r="S23" s="11"/>
      <c r="T23" s="51"/>
      <c r="U23" s="53"/>
      <c r="V23" s="51"/>
      <c r="W23" s="53"/>
      <c r="X23" s="40"/>
      <c r="Y23" s="11"/>
    </row>
    <row r="24" spans="2:25" ht="12.75">
      <c r="B24" s="31"/>
      <c r="C24" s="84">
        <f>$B$10+(D24-$B$11)*($B$12/60/24+TIME(0,5,0))</f>
        <v>0.4027777777777778</v>
      </c>
      <c r="D24" s="145">
        <f>$B$11+1</f>
        <v>2</v>
      </c>
      <c r="E24" s="85">
        <f>$B$9</f>
        <v>12</v>
      </c>
      <c r="F24" s="85">
        <f>$E24+$D24*100</f>
        <v>212</v>
      </c>
      <c r="G24" s="30" t="str">
        <f>G15</f>
        <v>Bethnal Boomers</v>
      </c>
      <c r="H24" s="30" t="str">
        <f>G14</f>
        <v>Viva Vlerk!</v>
      </c>
      <c r="I24" s="87" t="str">
        <f>G13</f>
        <v>Schoggi Basel</v>
      </c>
      <c r="J24" s="92"/>
      <c r="K24" s="93"/>
      <c r="L24" s="92"/>
      <c r="M24" s="93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1 - 2)"))))))</f>
        <v>W212 (no. 1 - 2)</v>
      </c>
      <c r="S24" s="11" t="str">
        <f>IF(P24&gt;Q24,H24,IF(P24&lt;Q24,G24,IF(N24&gt;O24,H24,IF(N24&lt;O24,G24,IF(X24&gt;Y24,H24,IF(X24&lt;Y24,G24,"L"&amp;F24&amp;" (no. 3 - 4)"))))))</f>
        <v>L212 (no. 3 - 4)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2:25" ht="12.75">
      <c r="B25" s="31"/>
      <c r="C25" s="84"/>
      <c r="D25" s="85"/>
      <c r="E25" s="85"/>
      <c r="F25" s="85"/>
      <c r="G25" s="30"/>
      <c r="H25" s="30"/>
      <c r="I25" s="87"/>
      <c r="J25" s="92"/>
      <c r="K25" s="93"/>
      <c r="L25" s="92"/>
      <c r="M25" s="93"/>
      <c r="N25" s="169"/>
      <c r="O25" s="85"/>
      <c r="P25" s="99"/>
      <c r="Q25" s="100"/>
      <c r="R25" s="57"/>
      <c r="S25" s="15"/>
      <c r="T25" s="99"/>
      <c r="U25" s="100"/>
      <c r="V25" s="99"/>
      <c r="W25" s="100"/>
      <c r="X25" s="57"/>
      <c r="Y25" s="15"/>
    </row>
    <row r="26" spans="3:25" ht="12.75">
      <c r="C26" s="71"/>
      <c r="D26" s="25"/>
      <c r="E26" s="25"/>
      <c r="F26" s="25"/>
      <c r="G26" s="5"/>
      <c r="H26" s="5"/>
      <c r="I26" s="6"/>
      <c r="J26" s="71"/>
      <c r="K26" s="72"/>
      <c r="L26" s="71"/>
      <c r="M26" s="72"/>
      <c r="N26" s="71"/>
      <c r="O26" s="25"/>
      <c r="P26" s="71"/>
      <c r="Q26" s="72"/>
      <c r="R26" s="32"/>
      <c r="S26" s="6"/>
      <c r="T26" s="32"/>
      <c r="U26" s="6"/>
      <c r="V26" s="32"/>
      <c r="W26" s="6"/>
      <c r="X26" s="32"/>
      <c r="Y26" s="6"/>
    </row>
    <row r="27" spans="1:25" ht="12.75">
      <c r="A27" s="147"/>
      <c r="B27" s="143"/>
      <c r="C27" s="84">
        <f>$B$10+(D27-$B$11)*($B$12/60/24+TIME(0,5,0))</f>
        <v>0.4305555555555556</v>
      </c>
      <c r="D27" s="85">
        <f>$B$11+2</f>
        <v>3</v>
      </c>
      <c r="E27" s="85">
        <f>$B$9</f>
        <v>12</v>
      </c>
      <c r="F27" s="85">
        <f>$E27+$D27*100</f>
        <v>312</v>
      </c>
      <c r="G27" s="148" t="str">
        <f>S24</f>
        <v>L212 (no. 3 - 4)</v>
      </c>
      <c r="H27" s="148" t="str">
        <f>S22</f>
        <v>L112 (no. 3 - 4)</v>
      </c>
      <c r="I27" s="149" t="str">
        <f>R22</f>
        <v>W112 (no. 1 - 2)</v>
      </c>
      <c r="J27" s="88"/>
      <c r="K27" s="87"/>
      <c r="L27" s="88"/>
      <c r="M27" s="87"/>
      <c r="N27" s="188">
        <f>SUM(J27,L27)</f>
        <v>0</v>
      </c>
      <c r="O27" s="189">
        <f>SUM(K27,M27)</f>
        <v>0</v>
      </c>
      <c r="P27" s="190">
        <f>SUM(T27,V27)</f>
        <v>2</v>
      </c>
      <c r="Q27" s="191">
        <f>SUM(U27,W27)</f>
        <v>2</v>
      </c>
      <c r="R27" s="40" t="str">
        <f>IF(P27&gt;Q27,G27,IF(P27&lt;Q27,H27,IF(N27&gt;O27,G27,IF(N27&lt;O27,H27,IF(X27&gt;Y27,G27,IF(X27&lt;Y27,H27,"W"&amp;F27&amp;" (no. 3)"))))))</f>
        <v>W312 (no. 3)</v>
      </c>
      <c r="S27" s="11" t="str">
        <f>IF(P27&gt;Q27,H27,IF(P27&lt;Q27,G27,IF(N27&gt;O27,H27,IF(N27&lt;O27,G27,IF(X27&gt;Y27,H27,IF(X27&lt;Y27,G27,"L"&amp;F27&amp;" (no. 4)"))))))</f>
        <v>L312 (no. 4)</v>
      </c>
      <c r="T27" s="51">
        <f>IF(J27&gt;K27,2,IF(J27=K27,1,0))</f>
        <v>1</v>
      </c>
      <c r="U27" s="53">
        <f>IF(K27&gt;J27,2,IF(K27=J27,1,0))</f>
        <v>1</v>
      </c>
      <c r="V27" s="51">
        <f>IF(L27&gt;M27,2,IF(L27=M27,1,0))</f>
        <v>1</v>
      </c>
      <c r="W27" s="53">
        <f>IF(M27&gt;L27,2,IF(M27=L27,1,0))</f>
        <v>1</v>
      </c>
      <c r="X27" s="40"/>
      <c r="Y27" s="11"/>
    </row>
    <row r="28" spans="1:25" ht="24.75" customHeight="1">
      <c r="A28" s="147"/>
      <c r="B28" s="143"/>
      <c r="C28" s="84"/>
      <c r="D28" s="85"/>
      <c r="E28" s="159"/>
      <c r="F28" s="159"/>
      <c r="G28" s="237"/>
      <c r="H28" s="237"/>
      <c r="I28" s="238"/>
      <c r="J28" s="88"/>
      <c r="K28" s="87"/>
      <c r="L28" s="88"/>
      <c r="M28" s="87"/>
      <c r="N28" s="188"/>
      <c r="O28" s="189"/>
      <c r="P28" s="190"/>
      <c r="Q28" s="191"/>
      <c r="R28" s="40"/>
      <c r="S28" s="11"/>
      <c r="T28" s="51"/>
      <c r="U28" s="53"/>
      <c r="V28" s="51"/>
      <c r="W28" s="53"/>
      <c r="X28" s="40"/>
      <c r="Y28" s="11"/>
    </row>
    <row r="29" spans="1:25" ht="12.75">
      <c r="A29" s="143"/>
      <c r="B29" s="142"/>
      <c r="C29" s="84"/>
      <c r="D29" s="145"/>
      <c r="E29" s="152"/>
      <c r="F29" s="145"/>
      <c r="G29" s="150"/>
      <c r="H29" s="150"/>
      <c r="I29" s="151"/>
      <c r="J29" s="92"/>
      <c r="K29" s="93"/>
      <c r="L29" s="92"/>
      <c r="M29" s="93"/>
      <c r="N29" s="188"/>
      <c r="O29" s="189"/>
      <c r="P29" s="190"/>
      <c r="Q29" s="191"/>
      <c r="R29" s="40"/>
      <c r="S29" s="11"/>
      <c r="T29" s="51"/>
      <c r="U29" s="53"/>
      <c r="V29" s="51"/>
      <c r="W29" s="53"/>
      <c r="X29" s="40"/>
      <c r="Y29" s="11"/>
    </row>
    <row r="30" spans="1:25" ht="12.75">
      <c r="A30" s="143"/>
      <c r="B30" s="142"/>
      <c r="C30" s="84">
        <f>$B$10+(D30-$B$11)*($B$12/60/24+TIME(0,5,0))</f>
        <v>0.4583333333333333</v>
      </c>
      <c r="D30" s="85">
        <f>$B$11+3</f>
        <v>4</v>
      </c>
      <c r="E30" s="85">
        <f>$B$9</f>
        <v>12</v>
      </c>
      <c r="F30" s="85">
        <f>$E30+$D30*100</f>
        <v>412</v>
      </c>
      <c r="G30" s="144" t="str">
        <f>R22</f>
        <v>W112 (no. 1 - 2)</v>
      </c>
      <c r="H30" s="144" t="str">
        <f>R24</f>
        <v>W212 (no. 1 - 2)</v>
      </c>
      <c r="I30" s="151" t="str">
        <f>S24</f>
        <v>L212 (no. 3 - 4)</v>
      </c>
      <c r="J30" s="92"/>
      <c r="K30" s="93"/>
      <c r="L30" s="92"/>
      <c r="M30" s="93"/>
      <c r="N30" s="188">
        <f>SUM(J30,L30)</f>
        <v>0</v>
      </c>
      <c r="O30" s="189">
        <f>SUM(K30,M30)</f>
        <v>0</v>
      </c>
      <c r="P30" s="190">
        <f>SUM(T30,V30)</f>
        <v>2</v>
      </c>
      <c r="Q30" s="191">
        <f>SUM(U30,W30)</f>
        <v>2</v>
      </c>
      <c r="R30" s="40" t="str">
        <f>IF(P30&gt;Q30,G30,IF(P30&lt;Q30,H30,IF(N30&gt;O30,G30,IF(N30&lt;O30,H30,IF(X30&gt;Y30,G30,IF(X30&lt;Y30,H30,"W"&amp;F30&amp;" (no. 1)"))))))</f>
        <v>W412 (no. 1)</v>
      </c>
      <c r="S30" s="11" t="str">
        <f>IF(P30&gt;Q30,H30,IF(P30&lt;Q30,G30,IF(N30&gt;O30,H30,IF(N30&lt;O30,G30,IF(X30&gt;Y30,H30,IF(X30&lt;Y30,G30,"L"&amp;F30&amp;" (no. 2)"))))))</f>
        <v>L412 (no. 2)</v>
      </c>
      <c r="T30" s="51">
        <f>IF(J30&gt;K30,2,IF(J30=K30,1,0))</f>
        <v>1</v>
      </c>
      <c r="U30" s="53">
        <f>IF(K30&gt;J30,2,IF(K30=J30,1,0))</f>
        <v>1</v>
      </c>
      <c r="V30" s="51">
        <f>IF(L30&gt;M30,2,IF(L30=M30,1,0))</f>
        <v>1</v>
      </c>
      <c r="W30" s="53">
        <f>IF(M30&gt;L30,2,IF(M30=L30,1,0))</f>
        <v>1</v>
      </c>
      <c r="X30" s="40"/>
      <c r="Y30" s="11"/>
    </row>
    <row r="31" spans="1:25" ht="24.75" customHeight="1">
      <c r="A31" s="143"/>
      <c r="B31" s="142"/>
      <c r="C31" s="84"/>
      <c r="D31" s="85"/>
      <c r="E31" s="159"/>
      <c r="F31" s="159"/>
      <c r="G31" s="235"/>
      <c r="H31" s="235"/>
      <c r="I31" s="236"/>
      <c r="J31" s="92"/>
      <c r="K31" s="93"/>
      <c r="L31" s="92"/>
      <c r="M31" s="93"/>
      <c r="N31" s="188"/>
      <c r="O31" s="189"/>
      <c r="P31" s="190"/>
      <c r="Q31" s="191"/>
      <c r="R31" s="40"/>
      <c r="S31" s="11"/>
      <c r="T31" s="51"/>
      <c r="U31" s="53"/>
      <c r="V31" s="51"/>
      <c r="W31" s="53"/>
      <c r="X31" s="40"/>
      <c r="Y31" s="11"/>
    </row>
    <row r="32" spans="3:25" ht="12.75">
      <c r="C32" s="84"/>
      <c r="D32" s="85"/>
      <c r="E32" s="85"/>
      <c r="F32" s="85"/>
      <c r="G32" s="86"/>
      <c r="H32" s="86"/>
      <c r="I32" s="87"/>
      <c r="J32" s="88"/>
      <c r="K32" s="87"/>
      <c r="L32" s="88"/>
      <c r="M32" s="87"/>
      <c r="N32" s="169"/>
      <c r="O32" s="85"/>
      <c r="P32" s="99"/>
      <c r="Q32" s="100"/>
      <c r="R32" s="40"/>
      <c r="S32" s="11"/>
      <c r="T32" s="51"/>
      <c r="U32" s="53"/>
      <c r="V32" s="51"/>
      <c r="W32" s="53"/>
      <c r="X32" s="40"/>
      <c r="Y32" s="11"/>
    </row>
    <row r="33" spans="3:25" ht="12.75" customHeight="1">
      <c r="C33" s="84">
        <f>$B$10+(D33-$B$11)*($B$12/60/24+TIME(0,5,0))</f>
        <v>0.4861111111111111</v>
      </c>
      <c r="D33" s="201">
        <f>$B$11+4</f>
        <v>5</v>
      </c>
      <c r="E33" s="102" t="s">
        <v>51</v>
      </c>
      <c r="F33" s="258" t="s">
        <v>98</v>
      </c>
      <c r="G33" s="258"/>
      <c r="H33" s="258"/>
      <c r="I33" s="259"/>
      <c r="J33" s="88"/>
      <c r="K33" s="87"/>
      <c r="L33" s="88"/>
      <c r="M33" s="87"/>
      <c r="N33" s="89"/>
      <c r="O33" s="90"/>
      <c r="P33" s="99"/>
      <c r="Q33" s="100"/>
      <c r="R33" s="40"/>
      <c r="S33" s="11"/>
      <c r="T33" s="51"/>
      <c r="U33" s="53"/>
      <c r="V33" s="51"/>
      <c r="W33" s="53"/>
      <c r="X33" s="40"/>
      <c r="Y33" s="11"/>
    </row>
    <row r="34" spans="3:25" ht="12.75" customHeight="1">
      <c r="C34" s="84"/>
      <c r="D34" s="85"/>
      <c r="E34" s="102"/>
      <c r="F34" s="258" t="s">
        <v>97</v>
      </c>
      <c r="G34" s="258"/>
      <c r="H34" s="258"/>
      <c r="I34" s="259"/>
      <c r="J34" s="88"/>
      <c r="K34" s="87"/>
      <c r="L34" s="88"/>
      <c r="M34" s="87"/>
      <c r="N34" s="89"/>
      <c r="O34" s="90"/>
      <c r="P34" s="99"/>
      <c r="Q34" s="100"/>
      <c r="R34" s="40"/>
      <c r="S34" s="11"/>
      <c r="T34" s="51"/>
      <c r="U34" s="53"/>
      <c r="V34" s="51"/>
      <c r="W34" s="53"/>
      <c r="X34" s="40"/>
      <c r="Y34" s="11"/>
    </row>
    <row r="35" spans="2:25" ht="12.75">
      <c r="B35" s="31"/>
      <c r="C35" s="158"/>
      <c r="D35" s="159"/>
      <c r="E35" s="159"/>
      <c r="F35" s="159"/>
      <c r="G35" s="160"/>
      <c r="H35" s="160"/>
      <c r="I35" s="161"/>
      <c r="J35" s="162"/>
      <c r="K35" s="163"/>
      <c r="L35" s="162"/>
      <c r="M35" s="163"/>
      <c r="N35" s="164"/>
      <c r="O35" s="165"/>
      <c r="P35" s="166"/>
      <c r="Q35" s="167"/>
      <c r="R35" s="57"/>
      <c r="S35" s="15"/>
      <c r="T35" s="166"/>
      <c r="U35" s="167"/>
      <c r="V35" s="166"/>
      <c r="W35" s="167"/>
      <c r="X35" s="57"/>
      <c r="Y35" s="15"/>
    </row>
    <row r="36" spans="2:17" ht="12.75">
      <c r="B36" s="31"/>
      <c r="C36" s="105"/>
      <c r="D36" s="8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ht="12.75">
      <c r="B37" s="31"/>
    </row>
    <row r="38" spans="2:9" ht="12.75" customHeight="1">
      <c r="B38" s="31"/>
      <c r="C38" s="252" t="str">
        <f>$B$4&amp;" "&amp;$B$5</f>
        <v>Men B</v>
      </c>
      <c r="D38" s="253"/>
      <c r="E38" s="254"/>
      <c r="F38" s="32"/>
      <c r="G38" s="5"/>
      <c r="H38" s="5"/>
      <c r="I38" s="6"/>
    </row>
    <row r="39" spans="2:9" ht="12.75" customHeight="1">
      <c r="B39" s="31" t="s">
        <v>87</v>
      </c>
      <c r="C39" s="255"/>
      <c r="D39" s="256"/>
      <c r="E39" s="257"/>
      <c r="F39" s="97" t="s">
        <v>32</v>
      </c>
      <c r="G39" s="10" t="str">
        <f>$G$12</f>
        <v>Team</v>
      </c>
      <c r="H39" s="10" t="str">
        <f>$H$12</f>
        <v>City</v>
      </c>
      <c r="I39" s="11" t="str">
        <f>$I$12</f>
        <v>Country</v>
      </c>
    </row>
    <row r="40" spans="2:9" ht="12.75">
      <c r="B40" s="146">
        <v>17</v>
      </c>
      <c r="C40" s="32"/>
      <c r="D40" s="25"/>
      <c r="E40" s="136">
        <f>$B$40</f>
        <v>17</v>
      </c>
      <c r="F40" s="71" t="str">
        <f>$B$6&amp;E40-$B$40+1</f>
        <v>BD1</v>
      </c>
      <c r="G40" s="5" t="str">
        <f>R30</f>
        <v>W412 (no. 1)</v>
      </c>
      <c r="H40" s="5" t="e">
        <f>VLOOKUP(G40,$G$13:$I$16,2,FALSE)</f>
        <v>#N/A</v>
      </c>
      <c r="I40" s="6" t="e">
        <f>VLOOKUP(G40,$G$13:$I$16,3,FALSE)</f>
        <v>#N/A</v>
      </c>
    </row>
    <row r="41" spans="2:9" ht="12.75">
      <c r="B41" s="31"/>
      <c r="C41" s="40"/>
      <c r="D41" s="41"/>
      <c r="E41" s="137">
        <f>E40+1</f>
        <v>18</v>
      </c>
      <c r="F41" s="97" t="str">
        <f>$B$6&amp;E41-$B$40+1</f>
        <v>BD2</v>
      </c>
      <c r="G41" s="10" t="str">
        <f>S30</f>
        <v>L412 (no. 2)</v>
      </c>
      <c r="H41" s="10" t="e">
        <f>VLOOKUP(G41,$G$13:$I$16,2,FALSE)</f>
        <v>#N/A</v>
      </c>
      <c r="I41" s="11" t="e">
        <f>VLOOKUP(G41,$G$13:$I$16,3,FALSE)</f>
        <v>#N/A</v>
      </c>
    </row>
    <row r="42" spans="2:9" ht="12.75">
      <c r="B42" s="31"/>
      <c r="C42" s="40"/>
      <c r="D42" s="41"/>
      <c r="E42" s="137">
        <f>E41+1</f>
        <v>19</v>
      </c>
      <c r="F42" s="97" t="str">
        <f>$B$6&amp;E42-$B$40+1</f>
        <v>BD3</v>
      </c>
      <c r="G42" s="10" t="str">
        <f>R27</f>
        <v>W312 (no. 3)</v>
      </c>
      <c r="H42" s="10" t="e">
        <f>VLOOKUP(G42,$G$13:$I$16,2,FALSE)</f>
        <v>#N/A</v>
      </c>
      <c r="I42" s="11" t="e">
        <f>VLOOKUP(G42,$G$13:$I$16,3,FALSE)</f>
        <v>#N/A</v>
      </c>
    </row>
    <row r="43" spans="2:9" ht="12.75">
      <c r="B43" s="31"/>
      <c r="C43" s="57"/>
      <c r="D43" s="27"/>
      <c r="E43" s="138">
        <f>E42+1</f>
        <v>20</v>
      </c>
      <c r="F43" s="73" t="str">
        <f>$B$6&amp;E43-$B$40+1</f>
        <v>BD4</v>
      </c>
      <c r="G43" s="14" t="str">
        <f>S27</f>
        <v>L312 (no. 4)</v>
      </c>
      <c r="H43" s="14" t="e">
        <f>VLOOKUP(G43,$G$13:$I$16,2,FALSE)</f>
        <v>#N/A</v>
      </c>
      <c r="I43" s="15" t="e">
        <f>VLOOKUP(G43,$G$13:$I$16,3,FALSE)</f>
        <v>#N/A</v>
      </c>
    </row>
    <row r="44" ht="12.75">
      <c r="B44" s="31"/>
    </row>
  </sheetData>
  <mergeCells count="13">
    <mergeCell ref="C4:F6"/>
    <mergeCell ref="C7:F8"/>
    <mergeCell ref="T19:U19"/>
    <mergeCell ref="V19:W19"/>
    <mergeCell ref="C11:F12"/>
    <mergeCell ref="X19:Y19"/>
    <mergeCell ref="N19:O19"/>
    <mergeCell ref="P19:Q19"/>
    <mergeCell ref="C38:E39"/>
    <mergeCell ref="J19:K19"/>
    <mergeCell ref="L19:M19"/>
    <mergeCell ref="F33:I33"/>
    <mergeCell ref="F34:I34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36" min="2" max="18" man="1"/>
  </rowBreaks>
  <colBreaks count="1" manualBreakCount="1">
    <brk id="17" min="3" max="4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M44"/>
  <sheetViews>
    <sheetView tabSelected="1" zoomScale="75" zoomScaleNormal="75" workbookViewId="0" topLeftCell="A3">
      <selection activeCell="K15" sqref="K15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B</v>
      </c>
      <c r="D4" s="261"/>
      <c r="E4" s="261"/>
      <c r="F4" s="262"/>
      <c r="G4" s="5"/>
      <c r="H4" s="17" t="str">
        <f>$A$8&amp;":"</f>
        <v>Venue:</v>
      </c>
      <c r="I4" s="6" t="str">
        <f>$B$8</f>
        <v>OSG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67</v>
      </c>
      <c r="C5" s="263"/>
      <c r="D5" s="264"/>
      <c r="E5" s="264"/>
      <c r="F5" s="265"/>
      <c r="G5" s="10"/>
      <c r="H5" s="19" t="str">
        <f>$A$9&amp;":"</f>
        <v>Court:</v>
      </c>
      <c r="I5" s="20">
        <f>$B$9</f>
        <v>13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99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0.375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tr">
        <f>$B$40&amp;" - "&amp;$B$40+3&amp;" ranking"</f>
        <v>21 - 24 ranking</v>
      </c>
      <c r="D7" s="267"/>
      <c r="E7" s="267"/>
      <c r="F7" s="268"/>
      <c r="G7" s="140"/>
      <c r="H7" s="25" t="str">
        <f>"Each match consists of 2 sets of at most "&amp;$B$13&amp;" points."</f>
        <v>Each match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74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13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0.375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1</v>
      </c>
      <c r="C11" s="272" t="str">
        <f>$A$6&amp;" "&amp;$B$6</f>
        <v>Group BE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140</v>
      </c>
      <c r="H13" s="5" t="s">
        <v>141</v>
      </c>
      <c r="I13" s="6" t="s">
        <v>120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142</v>
      </c>
      <c r="H14" s="10" t="s">
        <v>143</v>
      </c>
      <c r="I14" s="11" t="s">
        <v>144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254</v>
      </c>
      <c r="H15" s="10" t="s">
        <v>160</v>
      </c>
      <c r="I15" s="11" t="s">
        <v>120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2.75">
      <c r="B16" s="3"/>
      <c r="C16" s="57"/>
      <c r="D16" s="14"/>
      <c r="E16" s="14"/>
      <c r="F16" s="39"/>
      <c r="G16" s="57" t="s">
        <v>262</v>
      </c>
      <c r="H16" s="14" t="s">
        <v>139</v>
      </c>
      <c r="I16" s="15" t="s">
        <v>120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3:39" s="65" customFormat="1" ht="12.75">
      <c r="C17" s="19"/>
      <c r="D17" s="66"/>
      <c r="E17" s="66"/>
      <c r="F17" s="67"/>
      <c r="G17" s="68"/>
      <c r="H17" s="66"/>
      <c r="I17" s="66"/>
      <c r="J17" s="69"/>
      <c r="K17" s="69"/>
      <c r="L17" s="69"/>
      <c r="M17" s="69"/>
      <c r="N17" s="69"/>
      <c r="O17" s="69"/>
      <c r="P17" s="69"/>
      <c r="Q17" s="19"/>
      <c r="AA17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3:39" s="65" customFormat="1" ht="12.75">
      <c r="C18" s="19"/>
      <c r="D18" s="66"/>
      <c r="E18" s="66"/>
      <c r="F18" s="67"/>
      <c r="G18" s="68"/>
      <c r="H18" s="66"/>
      <c r="I18" s="66"/>
      <c r="J18" s="69"/>
      <c r="K18" s="69"/>
      <c r="L18" s="69"/>
      <c r="M18" s="69"/>
      <c r="N18" s="69"/>
      <c r="O18" s="69"/>
      <c r="P18" s="69"/>
      <c r="Q18" s="1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3:35" ht="12.75">
      <c r="C19" s="32"/>
      <c r="D19" s="5"/>
      <c r="E19" s="5"/>
      <c r="F19" s="5"/>
      <c r="G19" s="5"/>
      <c r="H19" s="5"/>
      <c r="I19" s="6"/>
      <c r="J19" s="249" t="s">
        <v>39</v>
      </c>
      <c r="K19" s="250"/>
      <c r="L19" s="249" t="s">
        <v>40</v>
      </c>
      <c r="M19" s="250"/>
      <c r="N19" s="249" t="s">
        <v>78</v>
      </c>
      <c r="O19" s="250"/>
      <c r="P19" s="249" t="s">
        <v>31</v>
      </c>
      <c r="Q19" s="250"/>
      <c r="R19" s="32"/>
      <c r="S19" s="6"/>
      <c r="T19" s="249" t="s">
        <v>39</v>
      </c>
      <c r="U19" s="250"/>
      <c r="V19" s="249" t="s">
        <v>40</v>
      </c>
      <c r="W19" s="250"/>
      <c r="X19" s="249" t="s">
        <v>24</v>
      </c>
      <c r="Y19" s="250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3:25" ht="12.75">
      <c r="C20" s="73" t="s">
        <v>18</v>
      </c>
      <c r="D20" s="74" t="s">
        <v>43</v>
      </c>
      <c r="E20" s="74" t="s">
        <v>17</v>
      </c>
      <c r="F20" s="75" t="s">
        <v>44</v>
      </c>
      <c r="G20" s="76" t="s">
        <v>45</v>
      </c>
      <c r="H20" s="77" t="s">
        <v>46</v>
      </c>
      <c r="I20" s="78" t="s">
        <v>47</v>
      </c>
      <c r="J20" s="79" t="s">
        <v>48</v>
      </c>
      <c r="K20" s="80" t="s">
        <v>49</v>
      </c>
      <c r="L20" s="79" t="s">
        <v>48</v>
      </c>
      <c r="M20" s="80" t="s">
        <v>49</v>
      </c>
      <c r="N20" s="79" t="s">
        <v>48</v>
      </c>
      <c r="O20" s="80" t="s">
        <v>49</v>
      </c>
      <c r="P20" s="81" t="s">
        <v>48</v>
      </c>
      <c r="Q20" s="82" t="s">
        <v>49</v>
      </c>
      <c r="R20" s="57" t="s">
        <v>79</v>
      </c>
      <c r="S20" s="15" t="s">
        <v>80</v>
      </c>
      <c r="T20" s="79" t="s">
        <v>48</v>
      </c>
      <c r="U20" s="80" t="s">
        <v>49</v>
      </c>
      <c r="V20" s="79" t="s">
        <v>48</v>
      </c>
      <c r="W20" s="80" t="s">
        <v>49</v>
      </c>
      <c r="X20" s="79" t="s">
        <v>48</v>
      </c>
      <c r="Y20" s="80" t="s">
        <v>49</v>
      </c>
    </row>
    <row r="21" spans="3:25" ht="12.75">
      <c r="C21" s="71"/>
      <c r="D21" s="25"/>
      <c r="E21" s="25"/>
      <c r="F21" s="25"/>
      <c r="G21" s="5"/>
      <c r="H21" s="5"/>
      <c r="I21" s="6"/>
      <c r="J21" s="71"/>
      <c r="K21" s="72"/>
      <c r="L21" s="71"/>
      <c r="M21" s="72"/>
      <c r="N21" s="83"/>
      <c r="O21" s="17"/>
      <c r="P21" s="71"/>
      <c r="Q21" s="72"/>
      <c r="R21" s="32"/>
      <c r="S21" s="6"/>
      <c r="T21" s="32"/>
      <c r="U21" s="6"/>
      <c r="V21" s="32"/>
      <c r="W21" s="6"/>
      <c r="X21" s="40"/>
      <c r="Y21" s="11"/>
    </row>
    <row r="22" spans="3:25" ht="12.75">
      <c r="C22" s="84">
        <f>$B$10+(D22-$B$11)*($B$12/60/24+TIME(0,5,0))</f>
        <v>0.375</v>
      </c>
      <c r="D22" s="85">
        <f>$B$11</f>
        <v>1</v>
      </c>
      <c r="E22" s="85">
        <f>$B$9</f>
        <v>13</v>
      </c>
      <c r="F22" s="85">
        <f>$E22+$D22*100</f>
        <v>113</v>
      </c>
      <c r="G22" s="86" t="str">
        <f>G13</f>
        <v>Lange Poten 2</v>
      </c>
      <c r="H22" s="86" t="str">
        <f>G16</f>
        <v>SNOR!</v>
      </c>
      <c r="I22" s="87" t="str">
        <f>G15</f>
        <v>Queen Juliana</v>
      </c>
      <c r="J22" s="88"/>
      <c r="K22" s="87"/>
      <c r="L22" s="88"/>
      <c r="M22" s="87"/>
      <c r="N22" s="188">
        <f>SUM(J22,L22)</f>
        <v>0</v>
      </c>
      <c r="O22" s="189">
        <f>SUM(K22,M22)</f>
        <v>0</v>
      </c>
      <c r="P22" s="190">
        <f>SUM(T22,V22)</f>
        <v>2</v>
      </c>
      <c r="Q22" s="191">
        <f>SUM(U22,W22)</f>
        <v>2</v>
      </c>
      <c r="R22" s="40" t="str">
        <f>IF(P22&gt;Q22,G22,IF(P22&lt;Q22,H22,IF(N22&gt;O22,G22,IF(N22&lt;O22,H22,IF(X22&gt;Y22,G22,IF(X22&lt;Y22,H22,"W"&amp;F22&amp;" (no. 1 - 2)"))))))</f>
        <v>W113 (no. 1 - 2)</v>
      </c>
      <c r="S22" s="11" t="str">
        <f>IF(P22&gt;Q22,H22,IF(P22&lt;Q22,G22,IF(N22&gt;O22,H22,IF(N22&lt;O22,G22,IF(X22&gt;Y22,H22,IF(X22&lt;Y22,G22,"L"&amp;F22&amp;" (no. 3 - 4)"))))))</f>
        <v>L113 (no. 3 - 4)</v>
      </c>
      <c r="T22" s="51">
        <f>IF(J22&gt;K22,2,IF(J22=K22,1,0))</f>
        <v>1</v>
      </c>
      <c r="U22" s="53">
        <f>IF(K22&gt;J22,2,IF(K22=J22,1,0))</f>
        <v>1</v>
      </c>
      <c r="V22" s="51">
        <f>IF(L22&gt;M22,2,IF(L22=M22,1,0))</f>
        <v>1</v>
      </c>
      <c r="W22" s="53">
        <f>IF(M22&gt;L22,2,IF(M22=L22,1,0))</f>
        <v>1</v>
      </c>
      <c r="X22" s="40"/>
      <c r="Y22" s="11"/>
    </row>
    <row r="23" spans="2:25" ht="12.75">
      <c r="B23" s="31"/>
      <c r="C23" s="84"/>
      <c r="D23" s="85"/>
      <c r="E23" s="85"/>
      <c r="F23" s="85"/>
      <c r="G23" s="30"/>
      <c r="H23" s="30"/>
      <c r="I23" s="87"/>
      <c r="J23" s="92"/>
      <c r="K23" s="93"/>
      <c r="L23" s="92"/>
      <c r="M23" s="93"/>
      <c r="N23" s="188"/>
      <c r="O23" s="189"/>
      <c r="P23" s="190"/>
      <c r="Q23" s="191"/>
      <c r="R23" s="40"/>
      <c r="S23" s="11"/>
      <c r="T23" s="51"/>
      <c r="U23" s="53"/>
      <c r="V23" s="51"/>
      <c r="W23" s="53"/>
      <c r="X23" s="40"/>
      <c r="Y23" s="11"/>
    </row>
    <row r="24" spans="2:25" ht="12.75">
      <c r="B24" s="31"/>
      <c r="C24" s="84">
        <f>$B$10+(D24-$B$11)*($B$12/60/24+TIME(0,5,0))</f>
        <v>0.4027777777777778</v>
      </c>
      <c r="D24" s="145">
        <f>$B$11+1</f>
        <v>2</v>
      </c>
      <c r="E24" s="85">
        <f>$B$9</f>
        <v>13</v>
      </c>
      <c r="F24" s="85">
        <f>$E24+$D24*100</f>
        <v>213</v>
      </c>
      <c r="G24" s="30" t="str">
        <f>G15</f>
        <v>Queen Juliana</v>
      </c>
      <c r="H24" s="30" t="str">
        <f>G14</f>
        <v>Raballder 2</v>
      </c>
      <c r="I24" s="87" t="str">
        <f>G13</f>
        <v>Lange Poten 2</v>
      </c>
      <c r="J24" s="92"/>
      <c r="K24" s="93"/>
      <c r="L24" s="92"/>
      <c r="M24" s="93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1 - 2)"))))))</f>
        <v>W213 (no. 1 - 2)</v>
      </c>
      <c r="S24" s="11" t="str">
        <f>IF(P24&gt;Q24,H24,IF(P24&lt;Q24,G24,IF(N24&gt;O24,H24,IF(N24&lt;O24,G24,IF(X24&gt;Y24,H24,IF(X24&lt;Y24,G24,"L"&amp;F24&amp;" (no. 3 - 4)"))))))</f>
        <v>L213 (no. 3 - 4)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2:25" ht="12.75">
      <c r="B25" s="31"/>
      <c r="C25" s="84"/>
      <c r="D25" s="85"/>
      <c r="E25" s="85"/>
      <c r="F25" s="85"/>
      <c r="G25" s="30"/>
      <c r="H25" s="30"/>
      <c r="I25" s="87"/>
      <c r="J25" s="92"/>
      <c r="K25" s="93"/>
      <c r="L25" s="92"/>
      <c r="M25" s="93"/>
      <c r="N25" s="169"/>
      <c r="O25" s="85"/>
      <c r="P25" s="99"/>
      <c r="Q25" s="100"/>
      <c r="R25" s="57"/>
      <c r="S25" s="15"/>
      <c r="T25" s="99"/>
      <c r="U25" s="100"/>
      <c r="V25" s="99"/>
      <c r="W25" s="100"/>
      <c r="X25" s="57"/>
      <c r="Y25" s="15"/>
    </row>
    <row r="26" spans="3:25" ht="12.75">
      <c r="C26" s="71"/>
      <c r="D26" s="25"/>
      <c r="E26" s="25"/>
      <c r="F26" s="25"/>
      <c r="G26" s="5"/>
      <c r="H26" s="5"/>
      <c r="I26" s="6"/>
      <c r="J26" s="71"/>
      <c r="K26" s="72"/>
      <c r="L26" s="71"/>
      <c r="M26" s="72"/>
      <c r="N26" s="71"/>
      <c r="O26" s="25"/>
      <c r="P26" s="71"/>
      <c r="Q26" s="72"/>
      <c r="R26" s="32"/>
      <c r="S26" s="6"/>
      <c r="T26" s="32"/>
      <c r="U26" s="6"/>
      <c r="V26" s="32"/>
      <c r="W26" s="6"/>
      <c r="X26" s="32"/>
      <c r="Y26" s="6"/>
    </row>
    <row r="27" spans="1:25" ht="12.75">
      <c r="A27" s="147"/>
      <c r="B27" s="143"/>
      <c r="C27" s="84">
        <f>$B$10+(D27-$B$11)*($B$12/60/24+TIME(0,5,0))</f>
        <v>0.4305555555555556</v>
      </c>
      <c r="D27" s="85">
        <f>$B$11+2</f>
        <v>3</v>
      </c>
      <c r="E27" s="85">
        <f>$B$9</f>
        <v>13</v>
      </c>
      <c r="F27" s="85">
        <f>$E27+$D27*100</f>
        <v>313</v>
      </c>
      <c r="G27" s="148" t="str">
        <f>S24</f>
        <v>L213 (no. 3 - 4)</v>
      </c>
      <c r="H27" s="148" t="str">
        <f>S22</f>
        <v>L113 (no. 3 - 4)</v>
      </c>
      <c r="I27" s="149" t="str">
        <f>R22</f>
        <v>W113 (no. 1 - 2)</v>
      </c>
      <c r="J27" s="88"/>
      <c r="K27" s="87"/>
      <c r="L27" s="88"/>
      <c r="M27" s="87"/>
      <c r="N27" s="188">
        <f>SUM(J27,L27)</f>
        <v>0</v>
      </c>
      <c r="O27" s="189">
        <f>SUM(K27,M27)</f>
        <v>0</v>
      </c>
      <c r="P27" s="190">
        <f>SUM(T27,V27)</f>
        <v>2</v>
      </c>
      <c r="Q27" s="191">
        <f>SUM(U27,W27)</f>
        <v>2</v>
      </c>
      <c r="R27" s="40" t="str">
        <f>IF(P27&gt;Q27,G27,IF(P27&lt;Q27,H27,IF(N27&gt;O27,G27,IF(N27&lt;O27,H27,IF(X27&gt;Y27,G27,IF(X27&lt;Y27,H27,"W"&amp;F27&amp;" (no. 3)"))))))</f>
        <v>W313 (no. 3)</v>
      </c>
      <c r="S27" s="11" t="str">
        <f>IF(P27&gt;Q27,H27,IF(P27&lt;Q27,G27,IF(N27&gt;O27,H27,IF(N27&lt;O27,G27,IF(X27&gt;Y27,H27,IF(X27&lt;Y27,G27,"L"&amp;F27&amp;" (no. 4)"))))))</f>
        <v>L313 (no. 4)</v>
      </c>
      <c r="T27" s="51">
        <f>IF(J27&gt;K27,2,IF(J27=K27,1,0))</f>
        <v>1</v>
      </c>
      <c r="U27" s="53">
        <f>IF(K27&gt;J27,2,IF(K27=J27,1,0))</f>
        <v>1</v>
      </c>
      <c r="V27" s="51">
        <f>IF(L27&gt;M27,2,IF(L27=M27,1,0))</f>
        <v>1</v>
      </c>
      <c r="W27" s="53">
        <f>IF(M27&gt;L27,2,IF(M27=L27,1,0))</f>
        <v>1</v>
      </c>
      <c r="X27" s="40"/>
      <c r="Y27" s="11"/>
    </row>
    <row r="28" spans="1:25" ht="24.75" customHeight="1">
      <c r="A28" s="147"/>
      <c r="B28" s="143"/>
      <c r="C28" s="84"/>
      <c r="D28" s="85"/>
      <c r="E28" s="159"/>
      <c r="F28" s="159"/>
      <c r="G28" s="237"/>
      <c r="H28" s="237"/>
      <c r="I28" s="238"/>
      <c r="J28" s="88"/>
      <c r="K28" s="87"/>
      <c r="L28" s="88"/>
      <c r="M28" s="87"/>
      <c r="N28" s="188"/>
      <c r="O28" s="189"/>
      <c r="P28" s="190"/>
      <c r="Q28" s="191"/>
      <c r="R28" s="40"/>
      <c r="S28" s="11"/>
      <c r="T28" s="51"/>
      <c r="U28" s="53"/>
      <c r="V28" s="51"/>
      <c r="W28" s="53"/>
      <c r="X28" s="40"/>
      <c r="Y28" s="11"/>
    </row>
    <row r="29" spans="1:25" ht="12.75">
      <c r="A29" s="143"/>
      <c r="B29" s="142"/>
      <c r="C29" s="84"/>
      <c r="D29" s="145"/>
      <c r="E29" s="152"/>
      <c r="F29" s="145"/>
      <c r="G29" s="150"/>
      <c r="H29" s="150"/>
      <c r="I29" s="151"/>
      <c r="J29" s="92"/>
      <c r="K29" s="93"/>
      <c r="L29" s="92"/>
      <c r="M29" s="93"/>
      <c r="N29" s="188"/>
      <c r="O29" s="189"/>
      <c r="P29" s="190"/>
      <c r="Q29" s="191"/>
      <c r="R29" s="40"/>
      <c r="S29" s="11"/>
      <c r="T29" s="51"/>
      <c r="U29" s="53"/>
      <c r="V29" s="51"/>
      <c r="W29" s="53"/>
      <c r="X29" s="40"/>
      <c r="Y29" s="11"/>
    </row>
    <row r="30" spans="1:25" ht="12.75">
      <c r="A30" s="143"/>
      <c r="B30" s="142"/>
      <c r="C30" s="84">
        <f>$B$10+(D30-$B$11)*($B$12/60/24+TIME(0,5,0))</f>
        <v>0.4583333333333333</v>
      </c>
      <c r="D30" s="85">
        <f>$B$11+3</f>
        <v>4</v>
      </c>
      <c r="E30" s="85">
        <f>$B$9</f>
        <v>13</v>
      </c>
      <c r="F30" s="85">
        <f>$E30+$D30*100</f>
        <v>413</v>
      </c>
      <c r="G30" s="144" t="str">
        <f>R22</f>
        <v>W113 (no. 1 - 2)</v>
      </c>
      <c r="H30" s="144" t="str">
        <f>R24</f>
        <v>W213 (no. 1 - 2)</v>
      </c>
      <c r="I30" s="151" t="str">
        <f>S24</f>
        <v>L213 (no. 3 - 4)</v>
      </c>
      <c r="J30" s="92"/>
      <c r="K30" s="93"/>
      <c r="L30" s="92"/>
      <c r="M30" s="93"/>
      <c r="N30" s="188">
        <f>SUM(J30,L30)</f>
        <v>0</v>
      </c>
      <c r="O30" s="189">
        <f>SUM(K30,M30)</f>
        <v>0</v>
      </c>
      <c r="P30" s="190">
        <f>SUM(T30,V30)</f>
        <v>2</v>
      </c>
      <c r="Q30" s="191">
        <f>SUM(U30,W30)</f>
        <v>2</v>
      </c>
      <c r="R30" s="40" t="str">
        <f>IF(P30&gt;Q30,G30,IF(P30&lt;Q30,H30,IF(N30&gt;O30,G30,IF(N30&lt;O30,H30,IF(X30&gt;Y30,G30,IF(X30&lt;Y30,H30,"W"&amp;F30&amp;" (no. 1)"))))))</f>
        <v>W413 (no. 1)</v>
      </c>
      <c r="S30" s="11" t="str">
        <f>IF(P30&gt;Q30,H30,IF(P30&lt;Q30,G30,IF(N30&gt;O30,H30,IF(N30&lt;O30,G30,IF(X30&gt;Y30,H30,IF(X30&lt;Y30,G30,"L"&amp;F30&amp;" (no. 2)"))))))</f>
        <v>L413 (no. 2)</v>
      </c>
      <c r="T30" s="51">
        <f>IF(J30&gt;K30,2,IF(J30=K30,1,0))</f>
        <v>1</v>
      </c>
      <c r="U30" s="53">
        <f>IF(K30&gt;J30,2,IF(K30=J30,1,0))</f>
        <v>1</v>
      </c>
      <c r="V30" s="51">
        <f>IF(L30&gt;M30,2,IF(L30=M30,1,0))</f>
        <v>1</v>
      </c>
      <c r="W30" s="53">
        <f>IF(M30&gt;L30,2,IF(M30=L30,1,0))</f>
        <v>1</v>
      </c>
      <c r="X30" s="40"/>
      <c r="Y30" s="11"/>
    </row>
    <row r="31" spans="1:25" ht="24.75" customHeight="1">
      <c r="A31" s="143"/>
      <c r="B31" s="142"/>
      <c r="C31" s="84"/>
      <c r="D31" s="85"/>
      <c r="E31" s="159"/>
      <c r="F31" s="159"/>
      <c r="G31" s="235"/>
      <c r="H31" s="235"/>
      <c r="I31" s="236"/>
      <c r="J31" s="92"/>
      <c r="K31" s="93"/>
      <c r="L31" s="92"/>
      <c r="M31" s="93"/>
      <c r="N31" s="188"/>
      <c r="O31" s="189"/>
      <c r="P31" s="190"/>
      <c r="Q31" s="191"/>
      <c r="R31" s="40"/>
      <c r="S31" s="11"/>
      <c r="T31" s="51"/>
      <c r="U31" s="53"/>
      <c r="V31" s="51"/>
      <c r="W31" s="53"/>
      <c r="X31" s="40"/>
      <c r="Y31" s="11"/>
    </row>
    <row r="32" spans="3:25" ht="12.75">
      <c r="C32" s="84"/>
      <c r="D32" s="85"/>
      <c r="E32" s="85"/>
      <c r="F32" s="85"/>
      <c r="G32" s="86"/>
      <c r="H32" s="86"/>
      <c r="I32" s="87"/>
      <c r="J32" s="88"/>
      <c r="K32" s="87"/>
      <c r="L32" s="88"/>
      <c r="M32" s="87"/>
      <c r="N32" s="169"/>
      <c r="O32" s="85"/>
      <c r="P32" s="99"/>
      <c r="Q32" s="100"/>
      <c r="R32" s="40"/>
      <c r="S32" s="11"/>
      <c r="T32" s="51"/>
      <c r="U32" s="53"/>
      <c r="V32" s="51"/>
      <c r="W32" s="53"/>
      <c r="X32" s="40"/>
      <c r="Y32" s="11"/>
    </row>
    <row r="33" spans="3:25" ht="12.75" customHeight="1">
      <c r="C33" s="84">
        <f>$B$10+(D33-$B$11)*($B$12/60/24+TIME(0,5,0))</f>
        <v>0.4861111111111111</v>
      </c>
      <c r="D33" s="201">
        <f>$B$11+4</f>
        <v>5</v>
      </c>
      <c r="E33" s="102" t="s">
        <v>51</v>
      </c>
      <c r="F33" s="258" t="s">
        <v>98</v>
      </c>
      <c r="G33" s="258"/>
      <c r="H33" s="258"/>
      <c r="I33" s="259"/>
      <c r="J33" s="88"/>
      <c r="K33" s="87"/>
      <c r="L33" s="88"/>
      <c r="M33" s="87"/>
      <c r="N33" s="89"/>
      <c r="O33" s="90"/>
      <c r="P33" s="99"/>
      <c r="Q33" s="100"/>
      <c r="R33" s="40"/>
      <c r="S33" s="11"/>
      <c r="T33" s="51"/>
      <c r="U33" s="53"/>
      <c r="V33" s="51"/>
      <c r="W33" s="53"/>
      <c r="X33" s="40"/>
      <c r="Y33" s="11"/>
    </row>
    <row r="34" spans="3:25" ht="12.75" customHeight="1">
      <c r="C34" s="84"/>
      <c r="D34" s="85"/>
      <c r="E34" s="102"/>
      <c r="F34" s="258" t="s">
        <v>97</v>
      </c>
      <c r="G34" s="258"/>
      <c r="H34" s="258"/>
      <c r="I34" s="259"/>
      <c r="J34" s="88"/>
      <c r="K34" s="87"/>
      <c r="L34" s="88"/>
      <c r="M34" s="87"/>
      <c r="N34" s="89"/>
      <c r="O34" s="90"/>
      <c r="P34" s="99"/>
      <c r="Q34" s="100"/>
      <c r="R34" s="40"/>
      <c r="S34" s="11"/>
      <c r="T34" s="51"/>
      <c r="U34" s="53"/>
      <c r="V34" s="51"/>
      <c r="W34" s="53"/>
      <c r="X34" s="40"/>
      <c r="Y34" s="11"/>
    </row>
    <row r="35" spans="2:25" ht="12.75">
      <c r="B35" s="31"/>
      <c r="C35" s="158"/>
      <c r="D35" s="159"/>
      <c r="E35" s="159"/>
      <c r="F35" s="159"/>
      <c r="G35" s="160"/>
      <c r="H35" s="160"/>
      <c r="I35" s="161"/>
      <c r="J35" s="162"/>
      <c r="K35" s="163"/>
      <c r="L35" s="162"/>
      <c r="M35" s="163"/>
      <c r="N35" s="164"/>
      <c r="O35" s="165"/>
      <c r="P35" s="166"/>
      <c r="Q35" s="167"/>
      <c r="R35" s="57"/>
      <c r="S35" s="15"/>
      <c r="T35" s="166"/>
      <c r="U35" s="167"/>
      <c r="V35" s="166"/>
      <c r="W35" s="167"/>
      <c r="X35" s="57"/>
      <c r="Y35" s="15"/>
    </row>
    <row r="36" spans="2:17" ht="12.75">
      <c r="B36" s="31"/>
      <c r="C36" s="105"/>
      <c r="D36" s="8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ht="12.75">
      <c r="B37" s="31"/>
    </row>
    <row r="38" spans="2:9" ht="12.75" customHeight="1">
      <c r="B38" s="31"/>
      <c r="C38" s="252" t="str">
        <f>$B$4&amp;" "&amp;$B$5</f>
        <v>Men B</v>
      </c>
      <c r="D38" s="253"/>
      <c r="E38" s="254"/>
      <c r="F38" s="32"/>
      <c r="G38" s="5"/>
      <c r="H38" s="5"/>
      <c r="I38" s="6"/>
    </row>
    <row r="39" spans="2:9" ht="12.75" customHeight="1">
      <c r="B39" s="31" t="s">
        <v>87</v>
      </c>
      <c r="C39" s="255"/>
      <c r="D39" s="256"/>
      <c r="E39" s="257"/>
      <c r="F39" s="97" t="s">
        <v>32</v>
      </c>
      <c r="G39" s="10" t="str">
        <f>$G$12</f>
        <v>Team</v>
      </c>
      <c r="H39" s="10" t="str">
        <f>$H$12</f>
        <v>City</v>
      </c>
      <c r="I39" s="11" t="str">
        <f>$I$12</f>
        <v>Country</v>
      </c>
    </row>
    <row r="40" spans="2:9" ht="12.75">
      <c r="B40" s="146">
        <v>21</v>
      </c>
      <c r="C40" s="32"/>
      <c r="D40" s="25"/>
      <c r="E40" s="136">
        <f>$B$40</f>
        <v>21</v>
      </c>
      <c r="F40" s="71" t="str">
        <f>$B$6&amp;E40-$B$40+1</f>
        <v>BE1</v>
      </c>
      <c r="G40" s="5" t="str">
        <f>R30</f>
        <v>W413 (no. 1)</v>
      </c>
      <c r="H40" s="5" t="e">
        <f>VLOOKUP(G40,$G$13:$I$16,2,FALSE)</f>
        <v>#N/A</v>
      </c>
      <c r="I40" s="6" t="e">
        <f>VLOOKUP(G40,$G$13:$I$16,3,FALSE)</f>
        <v>#N/A</v>
      </c>
    </row>
    <row r="41" spans="2:9" ht="12.75">
      <c r="B41" s="31"/>
      <c r="C41" s="40"/>
      <c r="D41" s="41"/>
      <c r="E41" s="137">
        <f>E40+1</f>
        <v>22</v>
      </c>
      <c r="F41" s="97" t="str">
        <f>$B$6&amp;E41-$B$40+1</f>
        <v>BE2</v>
      </c>
      <c r="G41" s="10" t="str">
        <f>S30</f>
        <v>L413 (no. 2)</v>
      </c>
      <c r="H41" s="10" t="e">
        <f>VLOOKUP(G41,$G$13:$I$16,2,FALSE)</f>
        <v>#N/A</v>
      </c>
      <c r="I41" s="11" t="e">
        <f>VLOOKUP(G41,$G$13:$I$16,3,FALSE)</f>
        <v>#N/A</v>
      </c>
    </row>
    <row r="42" spans="2:9" ht="12.75">
      <c r="B42" s="31"/>
      <c r="C42" s="40"/>
      <c r="D42" s="41"/>
      <c r="E42" s="137">
        <f>E41+1</f>
        <v>23</v>
      </c>
      <c r="F42" s="97" t="str">
        <f>$B$6&amp;E42-$B$40+1</f>
        <v>BE3</v>
      </c>
      <c r="G42" s="10" t="str">
        <f>R27</f>
        <v>W313 (no. 3)</v>
      </c>
      <c r="H42" s="10" t="e">
        <f>VLOOKUP(G42,$G$13:$I$16,2,FALSE)</f>
        <v>#N/A</v>
      </c>
      <c r="I42" s="11" t="e">
        <f>VLOOKUP(G42,$G$13:$I$16,3,FALSE)</f>
        <v>#N/A</v>
      </c>
    </row>
    <row r="43" spans="2:9" ht="12.75">
      <c r="B43" s="31"/>
      <c r="C43" s="57"/>
      <c r="D43" s="27"/>
      <c r="E43" s="138">
        <f>E42+1</f>
        <v>24</v>
      </c>
      <c r="F43" s="73" t="str">
        <f>$B$6&amp;E43-$B$40+1</f>
        <v>BE4</v>
      </c>
      <c r="G43" s="14" t="str">
        <f>S27</f>
        <v>L313 (no. 4)</v>
      </c>
      <c r="H43" s="14" t="e">
        <f>VLOOKUP(G43,$G$13:$I$16,2,FALSE)</f>
        <v>#N/A</v>
      </c>
      <c r="I43" s="15" t="e">
        <f>VLOOKUP(G43,$G$13:$I$16,3,FALSE)</f>
        <v>#N/A</v>
      </c>
    </row>
    <row r="44" ht="12.75">
      <c r="B44" s="31"/>
    </row>
  </sheetData>
  <mergeCells count="13">
    <mergeCell ref="X19:Y19"/>
    <mergeCell ref="N19:O19"/>
    <mergeCell ref="P19:Q19"/>
    <mergeCell ref="C38:E39"/>
    <mergeCell ref="J19:K19"/>
    <mergeCell ref="L19:M19"/>
    <mergeCell ref="F33:I33"/>
    <mergeCell ref="F34:I34"/>
    <mergeCell ref="C4:F6"/>
    <mergeCell ref="C7:F8"/>
    <mergeCell ref="T19:U19"/>
    <mergeCell ref="V19:W19"/>
    <mergeCell ref="C11:F12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36" min="2" max="18" man="1"/>
  </rowBreaks>
  <colBreaks count="1" manualBreakCount="1">
    <brk id="17" min="3" max="4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M75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C</v>
      </c>
      <c r="D4" s="261"/>
      <c r="E4" s="261"/>
      <c r="F4" s="262"/>
      <c r="G4" s="5"/>
      <c r="H4" s="17" t="str">
        <f>$A$8&amp;":"</f>
        <v>Venue:</v>
      </c>
      <c r="I4" s="6" t="str">
        <f>$B$8</f>
        <v>Olympos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73</v>
      </c>
      <c r="C5" s="263"/>
      <c r="D5" s="264"/>
      <c r="E5" s="264"/>
      <c r="F5" s="265"/>
      <c r="G5" s="10"/>
      <c r="H5" s="19" t="str">
        <f>$A$9&amp;":"</f>
        <v>Court:</v>
      </c>
      <c r="I5" s="20" t="str">
        <f>$B$9&amp;" / "&amp;$B$9+1</f>
        <v>9 / 10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75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0.375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">
        <v>85</v>
      </c>
      <c r="D7" s="267"/>
      <c r="E7" s="267"/>
      <c r="F7" s="268"/>
      <c r="G7" s="140"/>
      <c r="H7" s="25" t="str">
        <f>"Each match (except finals) consists of 2 sets of at most "&amp;$B$13&amp;" points."</f>
        <v>Each match (except finals)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15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9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0.375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1</v>
      </c>
      <c r="C11" s="272" t="str">
        <f>$A$6&amp;" "&amp;$B$6</f>
        <v>Group CA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195</v>
      </c>
      <c r="H13" s="5" t="s">
        <v>119</v>
      </c>
      <c r="I13" s="6" t="s">
        <v>120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196</v>
      </c>
      <c r="H14" s="10" t="s">
        <v>197</v>
      </c>
      <c r="I14" s="11" t="s">
        <v>120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198</v>
      </c>
      <c r="H15" s="10" t="s">
        <v>199</v>
      </c>
      <c r="I15" s="11" t="s">
        <v>148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2.75">
      <c r="B16" s="3"/>
      <c r="C16" s="40"/>
      <c r="D16" s="10"/>
      <c r="E16" s="10"/>
      <c r="F16" s="50"/>
      <c r="G16" s="40" t="s">
        <v>200</v>
      </c>
      <c r="H16" s="10" t="s">
        <v>201</v>
      </c>
      <c r="I16" s="11" t="s">
        <v>202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2:21" ht="12.75">
      <c r="B17" s="3"/>
      <c r="C17" s="40"/>
      <c r="D17" s="10"/>
      <c r="E17" s="10"/>
      <c r="F17" s="50"/>
      <c r="G17" s="40" t="s">
        <v>203</v>
      </c>
      <c r="H17" s="10" t="s">
        <v>158</v>
      </c>
      <c r="I17" s="11" t="s">
        <v>123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</row>
    <row r="18" spans="2:21" ht="12.75">
      <c r="B18" s="3"/>
      <c r="C18" s="40"/>
      <c r="D18" s="10"/>
      <c r="E18" s="10"/>
      <c r="F18" s="50"/>
      <c r="G18" s="40" t="s">
        <v>204</v>
      </c>
      <c r="H18" s="10" t="s">
        <v>205</v>
      </c>
      <c r="I18" s="11" t="s">
        <v>120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</row>
    <row r="19" spans="2:21" ht="12.75">
      <c r="B19" s="3"/>
      <c r="C19" s="40"/>
      <c r="D19" s="10"/>
      <c r="E19" s="10"/>
      <c r="F19" s="50"/>
      <c r="G19" s="40" t="s">
        <v>206</v>
      </c>
      <c r="H19" s="10" t="s">
        <v>207</v>
      </c>
      <c r="I19" s="11" t="s">
        <v>123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3:21" ht="12.75">
      <c r="C20" s="57"/>
      <c r="D20" s="58"/>
      <c r="E20" s="14"/>
      <c r="F20" s="39"/>
      <c r="G20" s="57" t="s">
        <v>208</v>
      </c>
      <c r="H20" s="14" t="s">
        <v>160</v>
      </c>
      <c r="I20" s="15" t="s">
        <v>120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3:39" s="65" customFormat="1" ht="12.75">
      <c r="C21" s="19"/>
      <c r="D21" s="66"/>
      <c r="E21" s="66"/>
      <c r="F21" s="67"/>
      <c r="G21" s="68"/>
      <c r="H21" s="66"/>
      <c r="I21" s="66"/>
      <c r="J21" s="69"/>
      <c r="K21" s="69"/>
      <c r="L21" s="69"/>
      <c r="M21" s="69"/>
      <c r="N21" s="69"/>
      <c r="O21" s="69"/>
      <c r="P21" s="69"/>
      <c r="Q21" s="19"/>
      <c r="AA21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70"/>
    </row>
    <row r="22" spans="3:39" s="65" customFormat="1" ht="12.75">
      <c r="C22" s="19"/>
      <c r="D22" s="66"/>
      <c r="E22" s="66"/>
      <c r="F22" s="67"/>
      <c r="G22" s="68"/>
      <c r="H22" s="66"/>
      <c r="I22" s="66"/>
      <c r="J22" s="69"/>
      <c r="K22" s="69"/>
      <c r="L22" s="69"/>
      <c r="M22" s="69"/>
      <c r="N22" s="69"/>
      <c r="O22" s="69"/>
      <c r="P22" s="69"/>
      <c r="Q22" s="1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70"/>
    </row>
    <row r="23" spans="3:35" ht="12.75">
      <c r="C23" s="32"/>
      <c r="D23" s="5"/>
      <c r="E23" s="5"/>
      <c r="F23" s="5"/>
      <c r="G23" s="5"/>
      <c r="H23" s="5"/>
      <c r="I23" s="6"/>
      <c r="J23" s="249" t="s">
        <v>39</v>
      </c>
      <c r="K23" s="250"/>
      <c r="L23" s="249" t="s">
        <v>40</v>
      </c>
      <c r="M23" s="250"/>
      <c r="N23" s="249" t="s">
        <v>78</v>
      </c>
      <c r="O23" s="250"/>
      <c r="P23" s="249" t="s">
        <v>31</v>
      </c>
      <c r="Q23" s="250"/>
      <c r="R23" s="32"/>
      <c r="S23" s="6"/>
      <c r="T23" s="249" t="s">
        <v>39</v>
      </c>
      <c r="U23" s="250"/>
      <c r="V23" s="249" t="s">
        <v>40</v>
      </c>
      <c r="W23" s="250"/>
      <c r="X23" s="249" t="s">
        <v>24</v>
      </c>
      <c r="Y23" s="250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3:25" ht="12.75">
      <c r="C24" s="73" t="s">
        <v>18</v>
      </c>
      <c r="D24" s="74" t="s">
        <v>43</v>
      </c>
      <c r="E24" s="74" t="s">
        <v>17</v>
      </c>
      <c r="F24" s="75" t="s">
        <v>44</v>
      </c>
      <c r="G24" s="76" t="s">
        <v>45</v>
      </c>
      <c r="H24" s="77" t="s">
        <v>46</v>
      </c>
      <c r="I24" s="78" t="s">
        <v>47</v>
      </c>
      <c r="J24" s="79" t="s">
        <v>48</v>
      </c>
      <c r="K24" s="80" t="s">
        <v>49</v>
      </c>
      <c r="L24" s="79" t="s">
        <v>48</v>
      </c>
      <c r="M24" s="80" t="s">
        <v>49</v>
      </c>
      <c r="N24" s="79" t="s">
        <v>48</v>
      </c>
      <c r="O24" s="80" t="s">
        <v>49</v>
      </c>
      <c r="P24" s="81" t="s">
        <v>48</v>
      </c>
      <c r="Q24" s="82" t="s">
        <v>49</v>
      </c>
      <c r="R24" s="57" t="s">
        <v>79</v>
      </c>
      <c r="S24" s="15" t="s">
        <v>80</v>
      </c>
      <c r="T24" s="79" t="s">
        <v>48</v>
      </c>
      <c r="U24" s="80" t="s">
        <v>49</v>
      </c>
      <c r="V24" s="79" t="s">
        <v>48</v>
      </c>
      <c r="W24" s="80" t="s">
        <v>49</v>
      </c>
      <c r="X24" s="79" t="s">
        <v>48</v>
      </c>
      <c r="Y24" s="80" t="s">
        <v>49</v>
      </c>
    </row>
    <row r="25" spans="3:25" ht="12.75">
      <c r="C25" s="71"/>
      <c r="D25" s="25"/>
      <c r="E25" s="25"/>
      <c r="F25" s="25"/>
      <c r="G25" s="5"/>
      <c r="H25" s="5"/>
      <c r="I25" s="6"/>
      <c r="J25" s="71"/>
      <c r="K25" s="72"/>
      <c r="L25" s="71"/>
      <c r="M25" s="72"/>
      <c r="N25" s="83"/>
      <c r="O25" s="17"/>
      <c r="P25" s="71"/>
      <c r="Q25" s="72"/>
      <c r="R25" s="32"/>
      <c r="S25" s="6"/>
      <c r="T25" s="32"/>
      <c r="U25" s="6"/>
      <c r="V25" s="32"/>
      <c r="W25" s="6"/>
      <c r="X25" s="40"/>
      <c r="Y25" s="11"/>
    </row>
    <row r="26" spans="3:25" ht="12.75">
      <c r="C26" s="84">
        <f>$B$10+(D26-$B$11)*($B$12/60/24+TIME(0,5,0))</f>
        <v>0.375</v>
      </c>
      <c r="D26" s="85">
        <f>$B$11</f>
        <v>1</v>
      </c>
      <c r="E26" s="85">
        <f>$B$9</f>
        <v>9</v>
      </c>
      <c r="F26" s="85">
        <f>$E26+$D26*100</f>
        <v>109</v>
      </c>
      <c r="G26" s="86" t="str">
        <f>G13</f>
        <v>Netzo Tigers</v>
      </c>
      <c r="H26" s="86" t="str">
        <f>G16</f>
        <v>Montreal 2006</v>
      </c>
      <c r="I26" s="87" t="str">
        <f>G15</f>
        <v>Sexpack</v>
      </c>
      <c r="J26" s="88"/>
      <c r="K26" s="87"/>
      <c r="L26" s="88"/>
      <c r="M26" s="87"/>
      <c r="N26" s="188">
        <f>SUM(J26,L26)</f>
        <v>0</v>
      </c>
      <c r="O26" s="189">
        <f>SUM(K26,M26)</f>
        <v>0</v>
      </c>
      <c r="P26" s="190">
        <f>SUM(T26,V26)</f>
        <v>2</v>
      </c>
      <c r="Q26" s="191">
        <f>SUM(U26,W26)</f>
        <v>2</v>
      </c>
      <c r="R26" s="40" t="str">
        <f>IF(P26&gt;Q26,G26,IF(P26&lt;Q26,H26,IF(N26&gt;O26,G26,IF(N26&lt;O26,H26,IF(X26&gt;Y26,G26,IF(X26&lt;Y26,H26,"W"&amp;F26&amp;" (no. 1 - 4)"))))))</f>
        <v>W109 (no. 1 - 4)</v>
      </c>
      <c r="S26" s="11" t="str">
        <f>IF(P26&gt;Q26,H26,IF(P26&lt;Q26,G26,IF(N26&gt;O26,H26,IF(N26&lt;O26,G26,IF(X26&gt;Y26,H26,IF(X26&lt;Y26,G26,"L"&amp;F26&amp;" (no. 5 - 8)"))))))</f>
        <v>L109 (no. 5 - 8)</v>
      </c>
      <c r="T26" s="51">
        <f>IF(J26&gt;K26,2,IF(J26=K26,1,0))</f>
        <v>1</v>
      </c>
      <c r="U26" s="53">
        <f>IF(K26&gt;J26,2,IF(K26=J26,1,0))</f>
        <v>1</v>
      </c>
      <c r="V26" s="51">
        <f>IF(L26&gt;M26,2,IF(L26=M26,1,0))</f>
        <v>1</v>
      </c>
      <c r="W26" s="53">
        <f>IF(M26&gt;L26,2,IF(M26=L26,1,0))</f>
        <v>1</v>
      </c>
      <c r="X26" s="40"/>
      <c r="Y26" s="11"/>
    </row>
    <row r="27" spans="3:25" ht="12.75">
      <c r="C27" s="84"/>
      <c r="D27" s="85">
        <f>$B$11</f>
        <v>1</v>
      </c>
      <c r="E27" s="85">
        <f>$B$9+1</f>
        <v>10</v>
      </c>
      <c r="F27" s="85">
        <f>$E27+$D27*100</f>
        <v>110</v>
      </c>
      <c r="G27" s="86" t="str">
        <f>G17</f>
        <v>Vorspiel</v>
      </c>
      <c r="H27" s="86" t="str">
        <f>G20</f>
        <v>Prince Bernhard</v>
      </c>
      <c r="I27" s="87" t="str">
        <f>G14</f>
        <v>Gay Sporting</v>
      </c>
      <c r="J27" s="88"/>
      <c r="K27" s="87"/>
      <c r="L27" s="88"/>
      <c r="M27" s="87"/>
      <c r="N27" s="188">
        <f>SUM(J27,L27)</f>
        <v>0</v>
      </c>
      <c r="O27" s="189">
        <f>SUM(K27,M27)</f>
        <v>0</v>
      </c>
      <c r="P27" s="190">
        <f>SUM(T27,V27)</f>
        <v>2</v>
      </c>
      <c r="Q27" s="191">
        <f>SUM(U27,W27)</f>
        <v>2</v>
      </c>
      <c r="R27" s="40" t="str">
        <f>IF(P27&gt;Q27,G27,IF(P27&lt;Q27,H27,IF(N27&gt;O27,G27,IF(N27&lt;O27,H27,IF(X27&gt;Y27,G27,IF(X27&lt;Y27,H27,"W"&amp;F27&amp;" (no. 1 - 4)"))))))</f>
        <v>W110 (no. 1 - 4)</v>
      </c>
      <c r="S27" s="11" t="str">
        <f>IF(P27&gt;Q27,H27,IF(P27&lt;Q27,G27,IF(N27&gt;O27,H27,IF(N27&lt;O27,G27,IF(X27&gt;Y27,H27,IF(X27&lt;Y27,G27,"L"&amp;F27&amp;" (no. 5 - 8)"))))))</f>
        <v>L110 (no. 5 - 8)</v>
      </c>
      <c r="T27" s="51">
        <f>IF(J27&gt;K27,2,IF(J27=K27,1,0))</f>
        <v>1</v>
      </c>
      <c r="U27" s="53">
        <f>IF(K27&gt;J27,2,IF(K27=J27,1,0))</f>
        <v>1</v>
      </c>
      <c r="V27" s="51">
        <f>IF(L27&gt;M27,2,IF(L27=M27,1,0))</f>
        <v>1</v>
      </c>
      <c r="W27" s="53">
        <f>IF(M27&gt;L27,2,IF(M27=L27,1,0))</f>
        <v>1</v>
      </c>
      <c r="X27" s="40"/>
      <c r="Y27" s="11"/>
    </row>
    <row r="28" spans="2:25" ht="12.75">
      <c r="B28" s="31"/>
      <c r="C28" s="84"/>
      <c r="D28" s="85"/>
      <c r="E28" s="85"/>
      <c r="F28" s="85"/>
      <c r="G28" s="30"/>
      <c r="H28" s="30"/>
      <c r="I28" s="87"/>
      <c r="J28" s="92"/>
      <c r="K28" s="93"/>
      <c r="L28" s="92"/>
      <c r="M28" s="93"/>
      <c r="N28" s="188"/>
      <c r="O28" s="189"/>
      <c r="P28" s="190"/>
      <c r="Q28" s="191"/>
      <c r="R28" s="40"/>
      <c r="S28" s="11"/>
      <c r="T28" s="51"/>
      <c r="U28" s="53"/>
      <c r="V28" s="51"/>
      <c r="W28" s="53"/>
      <c r="X28" s="40"/>
      <c r="Y28" s="11"/>
    </row>
    <row r="29" spans="2:25" ht="12.75">
      <c r="B29" s="31"/>
      <c r="C29" s="84">
        <f>$B$10+(D29-$B$11)*($B$12/60/24+TIME(0,5,0))</f>
        <v>0.4027777777777778</v>
      </c>
      <c r="D29" s="145">
        <f>$B$11+1</f>
        <v>2</v>
      </c>
      <c r="E29" s="85">
        <f>$B$9</f>
        <v>9</v>
      </c>
      <c r="F29" s="85">
        <f>$E29+$D29*100</f>
        <v>209</v>
      </c>
      <c r="G29" s="30" t="str">
        <f>G19</f>
        <v>Nordish by Nature</v>
      </c>
      <c r="H29" s="30" t="str">
        <f>G18</f>
        <v>Hup over 't netje</v>
      </c>
      <c r="I29" s="87" t="str">
        <f>G20</f>
        <v>Prince Bernhard</v>
      </c>
      <c r="J29" s="92"/>
      <c r="K29" s="93"/>
      <c r="L29" s="92"/>
      <c r="M29" s="93"/>
      <c r="N29" s="188">
        <f>SUM(J29,L29)</f>
        <v>0</v>
      </c>
      <c r="O29" s="189">
        <f>SUM(K29,M29)</f>
        <v>0</v>
      </c>
      <c r="P29" s="190">
        <f>SUM(T29,V29)</f>
        <v>2</v>
      </c>
      <c r="Q29" s="191">
        <f>SUM(U29,W29)</f>
        <v>2</v>
      </c>
      <c r="R29" s="40" t="str">
        <f>IF(P29&gt;Q29,G29,IF(P29&lt;Q29,H29,IF(N29&gt;O29,G29,IF(N29&lt;O29,H29,IF(X29&gt;Y29,G29,IF(X29&lt;Y29,H29,"W"&amp;F29&amp;" (no. 1 - 4)"))))))</f>
        <v>W209 (no. 1 - 4)</v>
      </c>
      <c r="S29" s="11" t="str">
        <f>IF(P29&gt;Q29,H29,IF(P29&lt;Q29,G29,IF(N29&gt;O29,H29,IF(N29&lt;O29,G29,IF(X29&gt;Y29,H29,IF(X29&lt;Y29,G29,"L"&amp;F29&amp;" (no. 5 - 8)"))))))</f>
        <v>L209 (no. 5 - 8)</v>
      </c>
      <c r="T29" s="51">
        <f>IF(J29&gt;K29,2,IF(J29=K29,1,0))</f>
        <v>1</v>
      </c>
      <c r="U29" s="53">
        <f>IF(K29&gt;J29,2,IF(K29=J29,1,0))</f>
        <v>1</v>
      </c>
      <c r="V29" s="51">
        <f>IF(L29&gt;M29,2,IF(L29=M29,1,0))</f>
        <v>1</v>
      </c>
      <c r="W29" s="53">
        <f>IF(M29&gt;L29,2,IF(M29=L29,1,0))</f>
        <v>1</v>
      </c>
      <c r="X29" s="40"/>
      <c r="Y29" s="11"/>
    </row>
    <row r="30" spans="2:25" ht="12.75">
      <c r="B30" s="31"/>
      <c r="C30" s="84"/>
      <c r="D30" s="85">
        <f>$B$11+1</f>
        <v>2</v>
      </c>
      <c r="E30" s="85">
        <f>$B$9+1</f>
        <v>10</v>
      </c>
      <c r="F30" s="85">
        <f>$E30+$D30*100</f>
        <v>210</v>
      </c>
      <c r="G30" s="30" t="str">
        <f>G15</f>
        <v>Sexpack</v>
      </c>
      <c r="H30" s="30" t="str">
        <f>G14</f>
        <v>Gay Sporting</v>
      </c>
      <c r="I30" s="87" t="str">
        <f>G17</f>
        <v>Vorspiel</v>
      </c>
      <c r="J30" s="92"/>
      <c r="K30" s="93"/>
      <c r="L30" s="92"/>
      <c r="M30" s="93"/>
      <c r="N30" s="188">
        <f>SUM(J30,L30)</f>
        <v>0</v>
      </c>
      <c r="O30" s="189">
        <f>SUM(K30,M30)</f>
        <v>0</v>
      </c>
      <c r="P30" s="190">
        <f>SUM(T30,V30)</f>
        <v>2</v>
      </c>
      <c r="Q30" s="191">
        <f>SUM(U30,W30)</f>
        <v>2</v>
      </c>
      <c r="R30" s="40" t="str">
        <f>IF(P30&gt;Q30,G30,IF(P30&lt;Q30,H30,IF(N30&gt;O30,G30,IF(N30&lt;O30,H30,IF(X30&gt;Y30,G30,IF(X30&lt;Y30,H30,"W"&amp;F30&amp;" (no. 1 - 4)"))))))</f>
        <v>W210 (no. 1 - 4)</v>
      </c>
      <c r="S30" s="11" t="str">
        <f>IF(P30&gt;Q30,H30,IF(P30&lt;Q30,G30,IF(N30&gt;O30,H30,IF(N30&lt;O30,G30,IF(X30&gt;Y30,H30,IF(X30&lt;Y30,G30,"L"&amp;F30&amp;" (no. 5 - 8)"))))))</f>
        <v>L210 (no. 5 - 8)</v>
      </c>
      <c r="T30" s="51">
        <f>IF(J30&gt;K30,2,IF(J30=K30,1,0))</f>
        <v>1</v>
      </c>
      <c r="U30" s="53">
        <f>IF(K30&gt;J30,2,IF(K30=J30,1,0))</f>
        <v>1</v>
      </c>
      <c r="V30" s="51">
        <f>IF(L30&gt;M30,2,IF(L30=M30,1,0))</f>
        <v>1</v>
      </c>
      <c r="W30" s="53">
        <f>IF(M30&gt;L30,2,IF(M30=L30,1,0))</f>
        <v>1</v>
      </c>
      <c r="X30" s="40"/>
      <c r="Y30" s="11"/>
    </row>
    <row r="31" spans="2:25" ht="12.75">
      <c r="B31" s="31"/>
      <c r="C31" s="84"/>
      <c r="D31" s="85"/>
      <c r="E31" s="85"/>
      <c r="F31" s="85"/>
      <c r="G31" s="30"/>
      <c r="H31" s="30"/>
      <c r="I31" s="87"/>
      <c r="J31" s="92"/>
      <c r="K31" s="93"/>
      <c r="L31" s="92"/>
      <c r="M31" s="93"/>
      <c r="N31" s="192"/>
      <c r="O31" s="193"/>
      <c r="P31" s="194"/>
      <c r="Q31" s="195"/>
      <c r="R31" s="57"/>
      <c r="S31" s="15"/>
      <c r="T31" s="99"/>
      <c r="U31" s="100"/>
      <c r="V31" s="99"/>
      <c r="W31" s="100"/>
      <c r="X31" s="57"/>
      <c r="Y31" s="15"/>
    </row>
    <row r="32" spans="3:25" ht="12.75">
      <c r="C32" s="71"/>
      <c r="D32" s="25"/>
      <c r="E32" s="25"/>
      <c r="F32" s="25"/>
      <c r="G32" s="5"/>
      <c r="H32" s="5"/>
      <c r="I32" s="6"/>
      <c r="J32" s="71"/>
      <c r="K32" s="72"/>
      <c r="L32" s="71"/>
      <c r="M32" s="72"/>
      <c r="N32" s="196"/>
      <c r="O32" s="197"/>
      <c r="P32" s="196"/>
      <c r="Q32" s="198"/>
      <c r="R32" s="32"/>
      <c r="S32" s="6"/>
      <c r="T32" s="32"/>
      <c r="U32" s="6"/>
      <c r="V32" s="32"/>
      <c r="W32" s="6"/>
      <c r="X32" s="40"/>
      <c r="Y32" s="11"/>
    </row>
    <row r="33" spans="3:25" ht="12.75">
      <c r="C33" s="84">
        <f>$B$10+(D33-$B$11)*($B$12/60/24+TIME(0,5,0))</f>
        <v>0.4305555555555556</v>
      </c>
      <c r="D33" s="85">
        <f>$B$11+2</f>
        <v>3</v>
      </c>
      <c r="E33" s="85">
        <f>$B$9</f>
        <v>9</v>
      </c>
      <c r="F33" s="85">
        <f>$E33+$D33*100</f>
        <v>309</v>
      </c>
      <c r="G33" s="86" t="str">
        <f>S27</f>
        <v>L110 (no. 5 - 8)</v>
      </c>
      <c r="H33" s="86" t="str">
        <f>S26</f>
        <v>L109 (no. 5 - 8)</v>
      </c>
      <c r="I33" s="87" t="str">
        <f>R26</f>
        <v>W109 (no. 1 - 4)</v>
      </c>
      <c r="J33" s="88"/>
      <c r="K33" s="87"/>
      <c r="L33" s="88"/>
      <c r="M33" s="87"/>
      <c r="N33" s="188">
        <f>SUM(J33,L33)</f>
        <v>0</v>
      </c>
      <c r="O33" s="189">
        <f>SUM(K33,M33)</f>
        <v>0</v>
      </c>
      <c r="P33" s="190">
        <f>SUM(T33,V33)</f>
        <v>2</v>
      </c>
      <c r="Q33" s="191">
        <f>SUM(U33,W33)</f>
        <v>2</v>
      </c>
      <c r="R33" s="40" t="str">
        <f>IF(P33&gt;Q33,G33,IF(P33&lt;Q33,H33,IF(N33&gt;O33,G33,IF(N33&lt;O33,H33,IF(X33&gt;Y33,G33,IF(X33&lt;Y33,H33,"W"&amp;F33&amp;" (no. 5 - 6)"))))))</f>
        <v>W309 (no. 5 - 6)</v>
      </c>
      <c r="S33" s="11" t="str">
        <f>IF(P33&gt;Q33,H33,IF(P33&lt;Q33,G33,IF(N33&gt;O33,H33,IF(N33&lt;O33,G33,IF(X33&gt;Y33,H33,IF(X33&lt;Y33,G33,"L"&amp;F33&amp;" (no. 7 - 8)"))))))</f>
        <v>L309 (no. 7 - 8)</v>
      </c>
      <c r="T33" s="51">
        <f>IF(J33&gt;K33,2,IF(J33=K33,1,0))</f>
        <v>1</v>
      </c>
      <c r="U33" s="53">
        <f>IF(K33&gt;J33,2,IF(K33=J33,1,0))</f>
        <v>1</v>
      </c>
      <c r="V33" s="51">
        <f>IF(L33&gt;M33,2,IF(L33=M33,1,0))</f>
        <v>1</v>
      </c>
      <c r="W33" s="53">
        <f>IF(M33&gt;L33,2,IF(M33=L33,1,0))</f>
        <v>1</v>
      </c>
      <c r="X33" s="40"/>
      <c r="Y33" s="11"/>
    </row>
    <row r="34" spans="3:25" ht="24.75" customHeight="1">
      <c r="C34" s="84"/>
      <c r="D34" s="85"/>
      <c r="E34" s="159"/>
      <c r="F34" s="159"/>
      <c r="G34" s="187"/>
      <c r="H34" s="187"/>
      <c r="I34" s="161"/>
      <c r="J34" s="88"/>
      <c r="K34" s="87"/>
      <c r="L34" s="88"/>
      <c r="M34" s="87"/>
      <c r="N34" s="188"/>
      <c r="O34" s="189"/>
      <c r="P34" s="190"/>
      <c r="Q34" s="191"/>
      <c r="R34" s="40"/>
      <c r="S34" s="11"/>
      <c r="T34" s="51"/>
      <c r="U34" s="53"/>
      <c r="V34" s="51"/>
      <c r="W34" s="53"/>
      <c r="X34" s="40"/>
      <c r="Y34" s="11"/>
    </row>
    <row r="35" spans="3:25" ht="12.75">
      <c r="C35" s="84"/>
      <c r="D35" s="85">
        <f>$B$11+2</f>
        <v>3</v>
      </c>
      <c r="E35" s="85">
        <f>$B$9+1</f>
        <v>10</v>
      </c>
      <c r="F35" s="85">
        <f>$E35+$D35*100</f>
        <v>310</v>
      </c>
      <c r="G35" s="86" t="str">
        <f>S30</f>
        <v>L210 (no. 5 - 8)</v>
      </c>
      <c r="H35" s="86" t="str">
        <f>S29</f>
        <v>L209 (no. 5 - 8)</v>
      </c>
      <c r="I35" s="87" t="str">
        <f>R29</f>
        <v>W209 (no. 1 - 4)</v>
      </c>
      <c r="J35" s="88"/>
      <c r="K35" s="87"/>
      <c r="L35" s="88"/>
      <c r="M35" s="87"/>
      <c r="N35" s="188">
        <f>SUM(J35,L35)</f>
        <v>0</v>
      </c>
      <c r="O35" s="189">
        <f>SUM(K35,M35)</f>
        <v>0</v>
      </c>
      <c r="P35" s="190">
        <f>SUM(T35,V35)</f>
        <v>2</v>
      </c>
      <c r="Q35" s="191">
        <f>SUM(U35,W35)</f>
        <v>2</v>
      </c>
      <c r="R35" s="40" t="str">
        <f>IF(P35&gt;Q35,G35,IF(P35&lt;Q35,H35,IF(N35&gt;O35,G35,IF(N35&lt;O35,H35,IF(X35&gt;Y35,G35,IF(X35&lt;Y35,H35,"W"&amp;F35&amp;" (no. 5 - 6)"))))))</f>
        <v>W310 (no. 5 - 6)</v>
      </c>
      <c r="S35" s="11" t="str">
        <f>IF(P35&gt;Q35,H35,IF(P35&lt;Q35,G35,IF(N35&gt;O35,H35,IF(N35&lt;O35,G35,IF(X35&gt;Y35,H35,IF(X35&lt;Y35,G35,"L"&amp;F35&amp;" (no. 7 - 8)"))))))</f>
        <v>L310 (no. 7 - 8)</v>
      </c>
      <c r="T35" s="51">
        <f>IF(J35&gt;K35,2,IF(J35=K35,1,0))</f>
        <v>1</v>
      </c>
      <c r="U35" s="53">
        <f>IF(K35&gt;J35,2,IF(K35=J35,1,0))</f>
        <v>1</v>
      </c>
      <c r="V35" s="51">
        <f>IF(L35&gt;M35,2,IF(L35=M35,1,0))</f>
        <v>1</v>
      </c>
      <c r="W35" s="53">
        <f>IF(M35&gt;L35,2,IF(M35=L35,1,0))</f>
        <v>1</v>
      </c>
      <c r="X35" s="40"/>
      <c r="Y35" s="11"/>
    </row>
    <row r="36" spans="3:25" ht="24.75" customHeight="1">
      <c r="C36" s="84"/>
      <c r="D36" s="85"/>
      <c r="E36" s="159"/>
      <c r="F36" s="159"/>
      <c r="G36" s="187"/>
      <c r="H36" s="187"/>
      <c r="I36" s="161"/>
      <c r="J36" s="88"/>
      <c r="K36" s="87"/>
      <c r="L36" s="88"/>
      <c r="M36" s="87"/>
      <c r="N36" s="188"/>
      <c r="O36" s="189"/>
      <c r="P36" s="190"/>
      <c r="Q36" s="191"/>
      <c r="R36" s="40"/>
      <c r="S36" s="11"/>
      <c r="T36" s="51"/>
      <c r="U36" s="53"/>
      <c r="V36" s="51"/>
      <c r="W36" s="53"/>
      <c r="X36" s="40"/>
      <c r="Y36" s="11"/>
    </row>
    <row r="37" spans="2:25" ht="12.75">
      <c r="B37" s="31"/>
      <c r="C37" s="84"/>
      <c r="D37" s="85"/>
      <c r="E37" s="85"/>
      <c r="F37" s="85"/>
      <c r="G37" s="30"/>
      <c r="H37" s="30"/>
      <c r="I37" s="87"/>
      <c r="J37" s="92"/>
      <c r="K37" s="93"/>
      <c r="L37" s="92"/>
      <c r="M37" s="93"/>
      <c r="N37" s="188"/>
      <c r="O37" s="189"/>
      <c r="P37" s="190"/>
      <c r="Q37" s="191"/>
      <c r="R37" s="40"/>
      <c r="S37" s="11"/>
      <c r="T37" s="51"/>
      <c r="U37" s="53"/>
      <c r="V37" s="51"/>
      <c r="W37" s="53"/>
      <c r="X37" s="40"/>
      <c r="Y37" s="11"/>
    </row>
    <row r="38" spans="2:25" ht="12.75">
      <c r="B38" s="31"/>
      <c r="C38" s="84">
        <f>$B$10+(D38-$B$11)*($B$12/60/24+TIME(0,5,0))</f>
        <v>0.4583333333333333</v>
      </c>
      <c r="D38" s="145">
        <f>$B$11+3</f>
        <v>4</v>
      </c>
      <c r="E38" s="85">
        <f>$B$9</f>
        <v>9</v>
      </c>
      <c r="F38" s="85">
        <f>$E38+$D38*100</f>
        <v>409</v>
      </c>
      <c r="G38" s="30" t="str">
        <f>R26</f>
        <v>W109 (no. 1 - 4)</v>
      </c>
      <c r="H38" s="30" t="str">
        <f>R27</f>
        <v>W110 (no. 1 - 4)</v>
      </c>
      <c r="I38" s="87" t="str">
        <f>S26</f>
        <v>L109 (no. 5 - 8)</v>
      </c>
      <c r="J38" s="92"/>
      <c r="K38" s="93"/>
      <c r="L38" s="92"/>
      <c r="M38" s="93"/>
      <c r="N38" s="188">
        <f>SUM(J38,L38)</f>
        <v>0</v>
      </c>
      <c r="O38" s="189">
        <f>SUM(K38,M38)</f>
        <v>0</v>
      </c>
      <c r="P38" s="190">
        <f>SUM(T38,V38)</f>
        <v>2</v>
      </c>
      <c r="Q38" s="191">
        <f>SUM(U38,W38)</f>
        <v>2</v>
      </c>
      <c r="R38" s="40" t="str">
        <f>IF(P38&gt;Q38,G38,IF(P38&lt;Q38,H38,IF(N38&gt;O38,G38,IF(N38&lt;O38,H38,IF(X38&gt;Y38,G38,IF(X38&lt;Y38,H38,"W"&amp;F38&amp;" (no. 1 - 2)"))))))</f>
        <v>W409 (no. 1 - 2)</v>
      </c>
      <c r="S38" s="11" t="str">
        <f>IF(P38&gt;Q38,H38,IF(P38&lt;Q38,G38,IF(N38&gt;O38,H38,IF(N38&lt;O38,G38,IF(X38&gt;Y38,H38,IF(X38&lt;Y38,G38,"L"&amp;F38&amp;" (no. 3 - 4)"))))))</f>
        <v>L409 (no. 3 - 4)</v>
      </c>
      <c r="T38" s="51">
        <f>IF(J38&gt;K38,2,IF(J38=K38,1,0))</f>
        <v>1</v>
      </c>
      <c r="U38" s="53">
        <f>IF(K38&gt;J38,2,IF(K38=J38,1,0))</f>
        <v>1</v>
      </c>
      <c r="V38" s="51">
        <f>IF(L38&gt;M38,2,IF(L38=M38,1,0))</f>
        <v>1</v>
      </c>
      <c r="W38" s="53">
        <f>IF(M38&gt;L38,2,IF(M38=L38,1,0))</f>
        <v>1</v>
      </c>
      <c r="X38" s="40"/>
      <c r="Y38" s="11"/>
    </row>
    <row r="39" spans="2:25" ht="24.75" customHeight="1">
      <c r="B39" s="31"/>
      <c r="C39" s="84"/>
      <c r="D39" s="145"/>
      <c r="E39" s="159"/>
      <c r="F39" s="159"/>
      <c r="G39" s="160"/>
      <c r="H39" s="160"/>
      <c r="I39" s="161"/>
      <c r="J39" s="92"/>
      <c r="K39" s="93"/>
      <c r="L39" s="92"/>
      <c r="M39" s="93"/>
      <c r="N39" s="188"/>
      <c r="O39" s="189"/>
      <c r="P39" s="190"/>
      <c r="Q39" s="191"/>
      <c r="R39" s="40"/>
      <c r="S39" s="11"/>
      <c r="T39" s="51"/>
      <c r="U39" s="53"/>
      <c r="V39" s="51"/>
      <c r="W39" s="53"/>
      <c r="X39" s="40"/>
      <c r="Y39" s="11"/>
    </row>
    <row r="40" spans="2:25" ht="12.75">
      <c r="B40" s="31"/>
      <c r="C40" s="84"/>
      <c r="D40" s="85">
        <f>$B$11+3</f>
        <v>4</v>
      </c>
      <c r="E40" s="85">
        <f>$B$9+1</f>
        <v>10</v>
      </c>
      <c r="F40" s="85">
        <f>$E40+$D40*100</f>
        <v>410</v>
      </c>
      <c r="G40" s="30" t="str">
        <f>R29</f>
        <v>W209 (no. 1 - 4)</v>
      </c>
      <c r="H40" s="30" t="str">
        <f>R30</f>
        <v>W210 (no. 1 - 4)</v>
      </c>
      <c r="I40" s="87" t="str">
        <f>S29</f>
        <v>L209 (no. 5 - 8)</v>
      </c>
      <c r="J40" s="92"/>
      <c r="K40" s="93"/>
      <c r="L40" s="92"/>
      <c r="M40" s="93"/>
      <c r="N40" s="188">
        <f>SUM(J40,L40)</f>
        <v>0</v>
      </c>
      <c r="O40" s="189">
        <f>SUM(K40,M40)</f>
        <v>0</v>
      </c>
      <c r="P40" s="190">
        <f>SUM(T40,V40)</f>
        <v>2</v>
      </c>
      <c r="Q40" s="191">
        <f>SUM(U40,W40)</f>
        <v>2</v>
      </c>
      <c r="R40" s="40" t="str">
        <f>IF(P40&gt;Q40,G40,IF(P40&lt;Q40,H40,IF(N40&gt;O40,G40,IF(N40&lt;O40,H40,IF(X40&gt;Y40,G40,IF(X40&lt;Y40,H40,"W"&amp;F40&amp;" (no. 1 - 2)"))))))</f>
        <v>W410 (no. 1 - 2)</v>
      </c>
      <c r="S40" s="11" t="str">
        <f>IF(P40&gt;Q40,H40,IF(P40&lt;Q40,G40,IF(N40&gt;O40,H40,IF(N40&lt;O40,G40,IF(X40&gt;Y40,H40,IF(X40&lt;Y40,G40,"L"&amp;F40&amp;" (no. 3 - 4)"))))))</f>
        <v>L410 (no. 3 - 4)</v>
      </c>
      <c r="T40" s="51">
        <f>IF(J40&gt;K40,2,IF(J40=K40,1,0))</f>
        <v>1</v>
      </c>
      <c r="U40" s="53">
        <f>IF(K40&gt;J40,2,IF(K40=J40,1,0))</f>
        <v>1</v>
      </c>
      <c r="V40" s="51">
        <f>IF(L40&gt;M40,2,IF(L40=M40,1,0))</f>
        <v>1</v>
      </c>
      <c r="W40" s="53">
        <f>IF(M40&gt;L40,2,IF(M40=L40,1,0))</f>
        <v>1</v>
      </c>
      <c r="X40" s="40"/>
      <c r="Y40" s="11"/>
    </row>
    <row r="41" spans="2:25" ht="24.75" customHeight="1">
      <c r="B41" s="31"/>
      <c r="C41" s="84"/>
      <c r="D41" s="85"/>
      <c r="E41" s="159"/>
      <c r="F41" s="159"/>
      <c r="G41" s="160"/>
      <c r="H41" s="160"/>
      <c r="I41" s="161"/>
      <c r="J41" s="92"/>
      <c r="K41" s="93"/>
      <c r="L41" s="92"/>
      <c r="M41" s="93"/>
      <c r="N41" s="188"/>
      <c r="O41" s="189"/>
      <c r="P41" s="190"/>
      <c r="Q41" s="191"/>
      <c r="R41" s="40"/>
      <c r="S41" s="11"/>
      <c r="T41" s="51"/>
      <c r="U41" s="53"/>
      <c r="V41" s="51"/>
      <c r="W41" s="53"/>
      <c r="X41" s="40"/>
      <c r="Y41" s="11"/>
    </row>
    <row r="42" spans="2:25" ht="12.75">
      <c r="B42" s="31"/>
      <c r="C42" s="84"/>
      <c r="D42" s="85"/>
      <c r="E42" s="85"/>
      <c r="F42" s="85"/>
      <c r="G42" s="30"/>
      <c r="H42" s="30"/>
      <c r="I42" s="87"/>
      <c r="J42" s="92"/>
      <c r="K42" s="93"/>
      <c r="L42" s="92"/>
      <c r="M42" s="93"/>
      <c r="N42" s="192"/>
      <c r="O42" s="193"/>
      <c r="P42" s="194"/>
      <c r="Q42" s="195"/>
      <c r="R42" s="57"/>
      <c r="S42" s="15"/>
      <c r="T42" s="99"/>
      <c r="U42" s="100"/>
      <c r="V42" s="99"/>
      <c r="W42" s="100"/>
      <c r="X42" s="57"/>
      <c r="Y42" s="15"/>
    </row>
    <row r="43" spans="3:25" ht="12.75">
      <c r="C43" s="71"/>
      <c r="D43" s="25"/>
      <c r="E43" s="25"/>
      <c r="F43" s="25"/>
      <c r="G43" s="5"/>
      <c r="H43" s="5"/>
      <c r="I43" s="6"/>
      <c r="J43" s="71"/>
      <c r="K43" s="72"/>
      <c r="L43" s="71"/>
      <c r="M43" s="72"/>
      <c r="N43" s="196"/>
      <c r="O43" s="197"/>
      <c r="P43" s="196"/>
      <c r="Q43" s="198"/>
      <c r="R43" s="32"/>
      <c r="S43" s="6"/>
      <c r="T43" s="32"/>
      <c r="U43" s="6"/>
      <c r="V43" s="32"/>
      <c r="W43" s="6"/>
      <c r="X43" s="40"/>
      <c r="Y43" s="11"/>
    </row>
    <row r="44" spans="3:25" ht="12.75">
      <c r="C44" s="84">
        <f>$B$10+(D44-$B$11)*($B$12/60/24+TIME(0,5,0))</f>
        <v>0.4861111111111111</v>
      </c>
      <c r="D44" s="85">
        <f>$B$11+4</f>
        <v>5</v>
      </c>
      <c r="E44" s="85">
        <f>$B$9</f>
        <v>9</v>
      </c>
      <c r="F44" s="85">
        <f>$E44+$D44*100</f>
        <v>509</v>
      </c>
      <c r="G44" s="86" t="str">
        <f>S35</f>
        <v>L310 (no. 7 - 8)</v>
      </c>
      <c r="H44" s="86" t="str">
        <f>S33</f>
        <v>L309 (no. 7 - 8)</v>
      </c>
      <c r="I44" s="87" t="str">
        <f>R38</f>
        <v>W409 (no. 1 - 2)</v>
      </c>
      <c r="J44" s="88"/>
      <c r="K44" s="87"/>
      <c r="L44" s="88"/>
      <c r="M44" s="87"/>
      <c r="N44" s="188">
        <f>SUM(J44,L44)</f>
        <v>0</v>
      </c>
      <c r="O44" s="189">
        <f>SUM(K44,M44)</f>
        <v>0</v>
      </c>
      <c r="P44" s="190">
        <f>SUM(T44,V44)</f>
        <v>2</v>
      </c>
      <c r="Q44" s="191">
        <f>SUM(U44,W44)</f>
        <v>2</v>
      </c>
      <c r="R44" s="40" t="str">
        <f>IF(P44&gt;Q44,G44,IF(P44&lt;Q44,H44,IF(N44&gt;O44,G44,IF(N44&lt;O44,H44,IF(X44&gt;Y44,G44,IF(X44&lt;Y44,H44,"W"&amp;F44&amp;" (no. 7)"))))))</f>
        <v>W509 (no. 7)</v>
      </c>
      <c r="S44" s="11" t="str">
        <f>IF(P44&gt;Q44,H44,IF(P44&lt;Q44,G44,IF(N44&gt;O44,H44,IF(N44&lt;O44,G44,IF(X44&gt;Y44,H44,IF(X44&lt;Y44,G44,"L"&amp;F44&amp;" (no. 8)"))))))</f>
        <v>L509 (no. 8)</v>
      </c>
      <c r="T44" s="51">
        <f>IF(J44&gt;K44,2,IF(J44=K44,1,0))</f>
        <v>1</v>
      </c>
      <c r="U44" s="53">
        <f>IF(K44&gt;J44,2,IF(K44=J44,1,0))</f>
        <v>1</v>
      </c>
      <c r="V44" s="51">
        <f>IF(L44&gt;M44,2,IF(L44=M44,1,0))</f>
        <v>1</v>
      </c>
      <c r="W44" s="53">
        <f>IF(M44&gt;L44,2,IF(M44=L44,1,0))</f>
        <v>1</v>
      </c>
      <c r="X44" s="40"/>
      <c r="Y44" s="11"/>
    </row>
    <row r="45" spans="3:25" ht="24.75" customHeight="1">
      <c r="C45" s="84"/>
      <c r="D45" s="85"/>
      <c r="E45" s="159"/>
      <c r="F45" s="159"/>
      <c r="G45" s="187"/>
      <c r="H45" s="187"/>
      <c r="I45" s="161"/>
      <c r="J45" s="88"/>
      <c r="K45" s="87"/>
      <c r="L45" s="88"/>
      <c r="M45" s="87"/>
      <c r="N45" s="188"/>
      <c r="O45" s="189"/>
      <c r="P45" s="190"/>
      <c r="Q45" s="191"/>
      <c r="R45" s="40"/>
      <c r="S45" s="11"/>
      <c r="T45" s="51"/>
      <c r="U45" s="53"/>
      <c r="V45" s="51"/>
      <c r="W45" s="53"/>
      <c r="X45" s="40"/>
      <c r="Y45" s="11"/>
    </row>
    <row r="46" spans="3:25" ht="12.75">
      <c r="C46" s="84"/>
      <c r="D46" s="85">
        <f>$B$11+4</f>
        <v>5</v>
      </c>
      <c r="E46" s="85">
        <f>$B$9+1</f>
        <v>10</v>
      </c>
      <c r="F46" s="85">
        <f>$E46+$D46*100</f>
        <v>510</v>
      </c>
      <c r="G46" s="86" t="str">
        <f>R33</f>
        <v>W309 (no. 5 - 6)</v>
      </c>
      <c r="H46" s="86" t="str">
        <f>R35</f>
        <v>W310 (no. 5 - 6)</v>
      </c>
      <c r="I46" s="87" t="str">
        <f>R40</f>
        <v>W410 (no. 1 - 2)</v>
      </c>
      <c r="J46" s="88"/>
      <c r="K46" s="87"/>
      <c r="L46" s="88"/>
      <c r="M46" s="87"/>
      <c r="N46" s="188">
        <f>SUM(J46,L46)</f>
        <v>0</v>
      </c>
      <c r="O46" s="189">
        <f>SUM(K46,M46)</f>
        <v>0</v>
      </c>
      <c r="P46" s="190">
        <f>SUM(T46,V46)</f>
        <v>2</v>
      </c>
      <c r="Q46" s="191">
        <f>SUM(U46,W46)</f>
        <v>2</v>
      </c>
      <c r="R46" s="40" t="str">
        <f>IF(P46&gt;Q46,G46,IF(P46&lt;Q46,H46,IF(N46&gt;O46,G46,IF(N46&lt;O46,H46,IF(X46&gt;Y46,G46,IF(X46&lt;Y46,H46,"W"&amp;F46&amp;" (no. 5)"))))))</f>
        <v>W510 (no. 5)</v>
      </c>
      <c r="S46" s="11" t="str">
        <f>IF(P46&gt;Q46,H46,IF(P46&lt;Q46,G46,IF(N46&gt;O46,H46,IF(N46&lt;O46,G46,IF(X46&gt;Y46,H46,IF(X46&lt;Y46,G46,"L"&amp;F46&amp;" (no. 6)"))))))</f>
        <v>L510 (no. 6)</v>
      </c>
      <c r="T46" s="51">
        <f>IF(J46&gt;K46,2,IF(J46=K46,1,0))</f>
        <v>1</v>
      </c>
      <c r="U46" s="53">
        <f>IF(K46&gt;J46,2,IF(K46=J46,1,0))</f>
        <v>1</v>
      </c>
      <c r="V46" s="51">
        <f>IF(L46&gt;M46,2,IF(L46=M46,1,0))</f>
        <v>1</v>
      </c>
      <c r="W46" s="53">
        <f>IF(M46&gt;L46,2,IF(M46=L46,1,0))</f>
        <v>1</v>
      </c>
      <c r="X46" s="40"/>
      <c r="Y46" s="11"/>
    </row>
    <row r="47" spans="3:25" ht="24.75" customHeight="1">
      <c r="C47" s="84"/>
      <c r="D47" s="85"/>
      <c r="E47" s="159"/>
      <c r="F47" s="159"/>
      <c r="G47" s="187"/>
      <c r="H47" s="187"/>
      <c r="I47" s="161"/>
      <c r="J47" s="88"/>
      <c r="K47" s="87"/>
      <c r="L47" s="88"/>
      <c r="M47" s="87"/>
      <c r="N47" s="188"/>
      <c r="O47" s="189"/>
      <c r="P47" s="190"/>
      <c r="Q47" s="191"/>
      <c r="R47" s="40"/>
      <c r="S47" s="11"/>
      <c r="T47" s="51"/>
      <c r="U47" s="53"/>
      <c r="V47" s="51"/>
      <c r="W47" s="53"/>
      <c r="X47" s="40"/>
      <c r="Y47" s="11"/>
    </row>
    <row r="48" spans="3:25" ht="12.75">
      <c r="C48" s="84"/>
      <c r="D48" s="85"/>
      <c r="E48" s="85"/>
      <c r="F48" s="85"/>
      <c r="G48" s="86"/>
      <c r="H48" s="86"/>
      <c r="I48" s="87"/>
      <c r="J48" s="88"/>
      <c r="K48" s="87"/>
      <c r="L48" s="88"/>
      <c r="M48" s="87"/>
      <c r="N48" s="169"/>
      <c r="O48" s="85"/>
      <c r="P48" s="99"/>
      <c r="Q48" s="100"/>
      <c r="R48" s="40"/>
      <c r="S48" s="11"/>
      <c r="T48" s="51"/>
      <c r="U48" s="53"/>
      <c r="V48" s="51"/>
      <c r="W48" s="53"/>
      <c r="X48" s="40"/>
      <c r="Y48" s="11"/>
    </row>
    <row r="49" spans="3:25" ht="12.75">
      <c r="C49" s="84">
        <f>$B$10+(D49-$B$11)*($B$12/60/24+TIME(0,5,0))</f>
        <v>0.5138888888888888</v>
      </c>
      <c r="D49" s="201">
        <f>$B$11+5</f>
        <v>6</v>
      </c>
      <c r="E49" s="102"/>
      <c r="F49" s="258" t="s">
        <v>98</v>
      </c>
      <c r="G49" s="258"/>
      <c r="H49" s="258"/>
      <c r="I49" s="259"/>
      <c r="J49" s="88"/>
      <c r="K49" s="87"/>
      <c r="L49" s="88"/>
      <c r="M49" s="87"/>
      <c r="N49" s="89"/>
      <c r="O49" s="90"/>
      <c r="P49" s="99"/>
      <c r="Q49" s="100"/>
      <c r="R49" s="40"/>
      <c r="S49" s="11"/>
      <c r="T49" s="51"/>
      <c r="U49" s="53"/>
      <c r="V49" s="51"/>
      <c r="W49" s="53"/>
      <c r="X49" s="40"/>
      <c r="Y49" s="11"/>
    </row>
    <row r="50" spans="3:25" ht="12.75">
      <c r="C50" s="84"/>
      <c r="D50" s="85"/>
      <c r="E50" s="102"/>
      <c r="F50" s="258" t="s">
        <v>97</v>
      </c>
      <c r="G50" s="258"/>
      <c r="H50" s="258"/>
      <c r="I50" s="259"/>
      <c r="J50" s="88"/>
      <c r="K50" s="87"/>
      <c r="L50" s="88"/>
      <c r="M50" s="87"/>
      <c r="N50" s="89"/>
      <c r="O50" s="90"/>
      <c r="P50" s="99"/>
      <c r="Q50" s="100"/>
      <c r="R50" s="40"/>
      <c r="S50" s="11"/>
      <c r="T50" s="51"/>
      <c r="U50" s="53"/>
      <c r="V50" s="51"/>
      <c r="W50" s="53"/>
      <c r="X50" s="40"/>
      <c r="Y50" s="11"/>
    </row>
    <row r="51" spans="2:25" ht="12.75">
      <c r="B51" s="31"/>
      <c r="C51" s="84"/>
      <c r="D51" s="85"/>
      <c r="E51" s="85"/>
      <c r="F51" s="85"/>
      <c r="G51" s="30"/>
      <c r="H51" s="30"/>
      <c r="I51" s="87"/>
      <c r="J51" s="92"/>
      <c r="K51" s="93"/>
      <c r="L51" s="92"/>
      <c r="M51" s="93"/>
      <c r="N51" s="89"/>
      <c r="O51" s="90"/>
      <c r="P51" s="99"/>
      <c r="Q51" s="100"/>
      <c r="R51" s="57"/>
      <c r="S51" s="15"/>
      <c r="T51" s="99"/>
      <c r="U51" s="100"/>
      <c r="V51" s="99"/>
      <c r="W51" s="100"/>
      <c r="X51" s="40"/>
      <c r="Y51" s="11"/>
    </row>
    <row r="52" spans="3:39" ht="12.75">
      <c r="C52" s="32"/>
      <c r="D52" s="5"/>
      <c r="E52" s="5"/>
      <c r="F52" s="5"/>
      <c r="G52" s="5"/>
      <c r="H52" s="5"/>
      <c r="I52" s="6"/>
      <c r="J52" s="249" t="s">
        <v>39</v>
      </c>
      <c r="K52" s="250"/>
      <c r="L52" s="249" t="s">
        <v>40</v>
      </c>
      <c r="M52" s="250"/>
      <c r="N52" s="249" t="s">
        <v>41</v>
      </c>
      <c r="O52" s="250"/>
      <c r="P52" s="249" t="s">
        <v>31</v>
      </c>
      <c r="Q52" s="250"/>
      <c r="R52" s="32"/>
      <c r="S52" s="6"/>
      <c r="T52" s="249" t="s">
        <v>39</v>
      </c>
      <c r="U52" s="250"/>
      <c r="V52" s="249" t="s">
        <v>40</v>
      </c>
      <c r="W52" s="250"/>
      <c r="X52" s="249" t="s">
        <v>41</v>
      </c>
      <c r="Y52" s="250"/>
      <c r="Z52" s="249" t="s">
        <v>42</v>
      </c>
      <c r="AA52" s="250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2:27" ht="12.75">
      <c r="B53" s="31"/>
      <c r="C53" s="73" t="s">
        <v>18</v>
      </c>
      <c r="D53" s="74" t="s">
        <v>43</v>
      </c>
      <c r="E53" s="74" t="s">
        <v>17</v>
      </c>
      <c r="F53" s="75" t="s">
        <v>44</v>
      </c>
      <c r="G53" s="76" t="s">
        <v>45</v>
      </c>
      <c r="H53" s="77" t="s">
        <v>46</v>
      </c>
      <c r="I53" s="78" t="s">
        <v>47</v>
      </c>
      <c r="J53" s="79" t="s">
        <v>48</v>
      </c>
      <c r="K53" s="80" t="s">
        <v>49</v>
      </c>
      <c r="L53" s="79" t="s">
        <v>48</v>
      </c>
      <c r="M53" s="80" t="s">
        <v>49</v>
      </c>
      <c r="N53" s="79" t="s">
        <v>48</v>
      </c>
      <c r="O53" s="80" t="s">
        <v>49</v>
      </c>
      <c r="P53" s="79" t="s">
        <v>48</v>
      </c>
      <c r="Q53" s="80" t="s">
        <v>49</v>
      </c>
      <c r="R53" s="57" t="s">
        <v>79</v>
      </c>
      <c r="S53" s="15" t="s">
        <v>80</v>
      </c>
      <c r="T53" s="79" t="s">
        <v>48</v>
      </c>
      <c r="U53" s="80" t="s">
        <v>49</v>
      </c>
      <c r="V53" s="79" t="s">
        <v>48</v>
      </c>
      <c r="W53" s="80" t="s">
        <v>49</v>
      </c>
      <c r="X53" s="79" t="s">
        <v>48</v>
      </c>
      <c r="Y53" s="80" t="s">
        <v>49</v>
      </c>
      <c r="Z53" s="79" t="s">
        <v>48</v>
      </c>
      <c r="AA53" s="80" t="s">
        <v>49</v>
      </c>
    </row>
    <row r="54" spans="1:27" ht="12.75">
      <c r="A54" s="18" t="s">
        <v>70</v>
      </c>
      <c r="B54" s="18" t="s">
        <v>71</v>
      </c>
      <c r="C54" s="84"/>
      <c r="D54" s="85"/>
      <c r="E54" s="85"/>
      <c r="F54" s="85"/>
      <c r="G54" s="30"/>
      <c r="H54" s="30"/>
      <c r="I54" s="87"/>
      <c r="J54" s="92"/>
      <c r="K54" s="93"/>
      <c r="L54" s="92"/>
      <c r="M54" s="93"/>
      <c r="N54" s="89"/>
      <c r="O54" s="90"/>
      <c r="P54" s="99"/>
      <c r="Q54" s="100"/>
      <c r="R54" s="40"/>
      <c r="S54" s="11"/>
      <c r="T54" s="99"/>
      <c r="U54" s="100"/>
      <c r="V54" s="99"/>
      <c r="W54" s="100"/>
      <c r="X54" s="99"/>
      <c r="Y54" s="100"/>
      <c r="Z54" s="92"/>
      <c r="AA54" s="93"/>
    </row>
    <row r="55" spans="1:27" ht="12.75">
      <c r="A55" s="147">
        <v>0.5208333333333334</v>
      </c>
      <c r="B55" s="143">
        <v>3</v>
      </c>
      <c r="C55" s="153">
        <f>$A$55</f>
        <v>0.5208333333333334</v>
      </c>
      <c r="D55" s="145">
        <f>$B$11+5</f>
        <v>6</v>
      </c>
      <c r="E55" s="152">
        <f>$B$55</f>
        <v>3</v>
      </c>
      <c r="F55" s="145">
        <f>$E55+$D55*100</f>
        <v>603</v>
      </c>
      <c r="G55" s="148" t="str">
        <f>S40</f>
        <v>L410 (no. 3 - 4)</v>
      </c>
      <c r="H55" s="148" t="str">
        <f>S38</f>
        <v>L409 (no. 3 - 4)</v>
      </c>
      <c r="I55" s="149" t="str">
        <f>"Official / "&amp;R40</f>
        <v>Official / W410 (no. 1 - 2)</v>
      </c>
      <c r="J55" s="88"/>
      <c r="K55" s="87"/>
      <c r="L55" s="88"/>
      <c r="M55" s="87"/>
      <c r="N55" s="89">
        <f>IF(OR(T55+V55=2,U55+W55=2),"---","")</f>
      </c>
      <c r="O55" s="90">
        <f>IF(OR(T55+V55=2,U55+W55=2),"---","")</f>
      </c>
      <c r="P55" s="199">
        <f>IF(AND(Z55=2,AA55=0),3,Z55)</f>
        <v>0</v>
      </c>
      <c r="Q55" s="200">
        <f>IF(AND(AA55=2,Z55=0),3,AA55)</f>
        <v>0</v>
      </c>
      <c r="R55" s="40" t="str">
        <f>IF(P55&gt;Q55,G55,IF(P55&lt;Q55,H55,"W"&amp;F55&amp;" (no. 3)"))</f>
        <v>W603 (no. 3)</v>
      </c>
      <c r="S55" s="11" t="str">
        <f>IF(P55&gt;Q55,H55,IF(P55&lt;Q55,G55,"L"&amp;F55&amp;" (no. 4)"))</f>
        <v>L603 (no. 4)</v>
      </c>
      <c r="T55" s="51">
        <f>IF(J55&gt;K55,1,0)</f>
        <v>0</v>
      </c>
      <c r="U55" s="53">
        <f>IF(K55&gt;J55,1,0)</f>
        <v>0</v>
      </c>
      <c r="V55" s="51">
        <f>IF(L55&gt;M55,1,0)</f>
        <v>0</v>
      </c>
      <c r="W55" s="53">
        <f>IF(M55&gt;L55,1,0)</f>
        <v>0</v>
      </c>
      <c r="X55" s="51">
        <f>IF(N55&gt;O55,1,0)</f>
        <v>0</v>
      </c>
      <c r="Y55" s="53">
        <f>IF(O55&gt;N55,1,0)</f>
        <v>0</v>
      </c>
      <c r="Z55" s="54">
        <f>SUM(T55,V55,X55)</f>
        <v>0</v>
      </c>
      <c r="AA55" s="91">
        <f>SUM(U55,W55,Y55)</f>
        <v>0</v>
      </c>
    </row>
    <row r="56" spans="1:27" ht="24.75" customHeight="1">
      <c r="A56" s="147"/>
      <c r="B56" s="143"/>
      <c r="C56" s="153"/>
      <c r="D56" s="145"/>
      <c r="E56" s="233"/>
      <c r="F56" s="234"/>
      <c r="G56" s="237"/>
      <c r="H56" s="237"/>
      <c r="I56" s="149"/>
      <c r="J56" s="88"/>
      <c r="K56" s="87"/>
      <c r="L56" s="88"/>
      <c r="M56" s="87"/>
      <c r="N56" s="89"/>
      <c r="O56" s="90"/>
      <c r="P56" s="199"/>
      <c r="Q56" s="200"/>
      <c r="R56" s="40"/>
      <c r="S56" s="11"/>
      <c r="T56" s="51"/>
      <c r="U56" s="53"/>
      <c r="V56" s="51"/>
      <c r="W56" s="53"/>
      <c r="X56" s="51"/>
      <c r="Y56" s="53"/>
      <c r="Z56" s="54"/>
      <c r="AA56" s="91"/>
    </row>
    <row r="57" spans="1:27" ht="12.75">
      <c r="A57" s="143"/>
      <c r="B57" s="142"/>
      <c r="C57" s="84"/>
      <c r="D57" s="145"/>
      <c r="E57" s="152"/>
      <c r="F57" s="145"/>
      <c r="G57" s="150"/>
      <c r="H57" s="150"/>
      <c r="I57" s="151"/>
      <c r="J57" s="40"/>
      <c r="K57" s="11"/>
      <c r="L57" s="40"/>
      <c r="M57" s="11"/>
      <c r="N57" s="89">
        <f>IF(OR(T57+V57=2,U57+W57=2),"---","")</f>
      </c>
      <c r="O57" s="90">
        <f>IF(OR(T57+V57=2,U57+W57=2),"---","")</f>
      </c>
      <c r="P57" s="199"/>
      <c r="Q57" s="200"/>
      <c r="R57" s="40"/>
      <c r="S57" s="11"/>
      <c r="T57" s="51"/>
      <c r="U57" s="53"/>
      <c r="V57" s="51"/>
      <c r="W57" s="53"/>
      <c r="X57" s="51"/>
      <c r="Y57" s="53"/>
      <c r="Z57" s="54"/>
      <c r="AA57" s="91"/>
    </row>
    <row r="58" spans="1:27" ht="12.75">
      <c r="A58" s="143"/>
      <c r="B58" s="142"/>
      <c r="C58" s="84">
        <f>C55+75/60/24</f>
        <v>0.5729166666666667</v>
      </c>
      <c r="D58" s="145">
        <f>$B$11+7</f>
        <v>8</v>
      </c>
      <c r="E58" s="152">
        <f>$B$55</f>
        <v>3</v>
      </c>
      <c r="F58" s="145">
        <f>$E58+$D58*100</f>
        <v>803</v>
      </c>
      <c r="G58" s="144" t="str">
        <f>R38</f>
        <v>W409 (no. 1 - 2)</v>
      </c>
      <c r="H58" s="144" t="str">
        <f>R40</f>
        <v>W410 (no. 1 - 2)</v>
      </c>
      <c r="I58" s="151" t="str">
        <f>"Official / "&amp;R55</f>
        <v>Official / W603 (no. 3)</v>
      </c>
      <c r="J58" s="96"/>
      <c r="K58" s="94"/>
      <c r="L58" s="96"/>
      <c r="M58" s="94"/>
      <c r="N58" s="89">
        <f>IF(OR(T58+V58=2,U58+W58=2),"---","")</f>
      </c>
      <c r="O58" s="90">
        <f>IF(OR(T58+V58=2,U58+W58=2),"---","")</f>
      </c>
      <c r="P58" s="199">
        <f>IF(AND(Z58=2,AA58=0),3,Z58)</f>
        <v>0</v>
      </c>
      <c r="Q58" s="200">
        <f>IF(AND(AA58=2,Z58=0),3,AA58)</f>
        <v>0</v>
      </c>
      <c r="R58" s="40" t="str">
        <f>IF(P58&gt;Q58,G58,IF(P58&lt;Q58,H58,"W"&amp;F58&amp;" (no. 1)"))</f>
        <v>W803 (no. 1)</v>
      </c>
      <c r="S58" s="11" t="str">
        <f>IF(P58&gt;Q58,H58,IF(P58&lt;Q58,G58,"L"&amp;F58&amp;" (no. 2)"))</f>
        <v>L803 (no. 2)</v>
      </c>
      <c r="T58" s="51">
        <f>IF(J58&gt;K58,1,0)</f>
        <v>0</v>
      </c>
      <c r="U58" s="53">
        <f>IF(K58&gt;J58,1,0)</f>
        <v>0</v>
      </c>
      <c r="V58" s="51">
        <f>IF(L58&gt;M58,1,0)</f>
        <v>0</v>
      </c>
      <c r="W58" s="53">
        <f>IF(M58&gt;L58,1,0)</f>
        <v>0</v>
      </c>
      <c r="X58" s="51">
        <f>IF(N58&gt;O58,1,0)</f>
        <v>0</v>
      </c>
      <c r="Y58" s="53">
        <f>IF(O58&gt;N58,1,0)</f>
        <v>0</v>
      </c>
      <c r="Z58" s="54">
        <f>SUM(T58,V58,X58)</f>
        <v>0</v>
      </c>
      <c r="AA58" s="91">
        <f>SUM(U58,W58,Y58)</f>
        <v>0</v>
      </c>
    </row>
    <row r="59" spans="1:27" ht="24.75" customHeight="1">
      <c r="A59" s="143"/>
      <c r="B59" s="142"/>
      <c r="C59" s="84"/>
      <c r="D59" s="145"/>
      <c r="E59" s="233"/>
      <c r="F59" s="234"/>
      <c r="G59" s="235"/>
      <c r="H59" s="235"/>
      <c r="I59" s="151"/>
      <c r="J59" s="96"/>
      <c r="K59" s="94"/>
      <c r="L59" s="96"/>
      <c r="M59" s="94"/>
      <c r="N59" s="89"/>
      <c r="O59" s="90"/>
      <c r="P59" s="199"/>
      <c r="Q59" s="200"/>
      <c r="R59" s="40"/>
      <c r="S59" s="11"/>
      <c r="T59" s="51"/>
      <c r="U59" s="53"/>
      <c r="V59" s="51"/>
      <c r="W59" s="53"/>
      <c r="X59" s="51"/>
      <c r="Y59" s="53"/>
      <c r="Z59" s="54"/>
      <c r="AA59" s="91"/>
    </row>
    <row r="60" spans="2:27" ht="12.75">
      <c r="B60" s="31"/>
      <c r="C60" s="84"/>
      <c r="D60" s="85"/>
      <c r="E60" s="85"/>
      <c r="F60" s="85"/>
      <c r="G60" s="95"/>
      <c r="H60" s="95"/>
      <c r="I60" s="94"/>
      <c r="J60" s="97"/>
      <c r="K60" s="98"/>
      <c r="L60" s="97"/>
      <c r="M60" s="98"/>
      <c r="N60" s="89">
        <f>IF(OR(T60+V60=2,U60+W60=2),"---","")</f>
      </c>
      <c r="O60" s="90">
        <f>IF(OR(T60+V60=2,U60+W60=2),"---","")</f>
      </c>
      <c r="P60" s="99"/>
      <c r="Q60" s="100"/>
      <c r="R60" s="40"/>
      <c r="S60" s="11"/>
      <c r="T60" s="101"/>
      <c r="U60" s="11"/>
      <c r="V60" s="40"/>
      <c r="W60" s="11"/>
      <c r="X60" s="40"/>
      <c r="Y60" s="11"/>
      <c r="Z60" s="40"/>
      <c r="AA60" s="11"/>
    </row>
    <row r="61" spans="2:27" ht="12.75" customHeight="1">
      <c r="B61" s="70"/>
      <c r="C61" s="84">
        <f>C58+75/60/24</f>
        <v>0.6250000000000001</v>
      </c>
      <c r="D61" s="85"/>
      <c r="E61" s="102"/>
      <c r="G61" s="251" t="str">
        <f>"Price ceremony on court 2."</f>
        <v>Price ceremony on court 2.</v>
      </c>
      <c r="H61" s="251"/>
      <c r="I61" s="103"/>
      <c r="J61" s="97"/>
      <c r="K61" s="98"/>
      <c r="L61" s="97"/>
      <c r="M61" s="98"/>
      <c r="N61" s="89">
        <f>IF(OR(T61+V61=2,U61+W61=2),"---","")</f>
      </c>
      <c r="O61" s="90">
        <f>IF(OR(T61+V61=2,U61+W61=2),"---","")</f>
      </c>
      <c r="P61" s="99"/>
      <c r="Q61" s="100"/>
      <c r="R61" s="40"/>
      <c r="S61" s="11"/>
      <c r="T61" s="40"/>
      <c r="U61" s="11"/>
      <c r="V61" s="40"/>
      <c r="W61" s="11"/>
      <c r="X61" s="40"/>
      <c r="Y61" s="11"/>
      <c r="Z61" s="40"/>
      <c r="AA61" s="11"/>
    </row>
    <row r="62" spans="2:27" ht="12.75">
      <c r="B62" s="31"/>
      <c r="C62" s="73"/>
      <c r="D62" s="14"/>
      <c r="E62" s="14"/>
      <c r="F62" s="14"/>
      <c r="G62" s="14"/>
      <c r="H62" s="14"/>
      <c r="I62" s="15"/>
      <c r="J62" s="57"/>
      <c r="K62" s="15"/>
      <c r="L62" s="57"/>
      <c r="M62" s="15"/>
      <c r="N62" s="104"/>
      <c r="O62" s="58"/>
      <c r="P62" s="57"/>
      <c r="Q62" s="15"/>
      <c r="R62" s="57"/>
      <c r="S62" s="15"/>
      <c r="T62" s="57"/>
      <c r="U62" s="15"/>
      <c r="V62" s="57"/>
      <c r="W62" s="15"/>
      <c r="X62" s="57"/>
      <c r="Y62" s="15"/>
      <c r="Z62" s="57"/>
      <c r="AA62" s="15"/>
    </row>
    <row r="63" spans="2:17" ht="12.75">
      <c r="B63" s="31"/>
      <c r="C63" s="105"/>
      <c r="D63" s="85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ht="12.75">
      <c r="B64" s="31"/>
    </row>
    <row r="65" spans="2:9" ht="12.75" customHeight="1">
      <c r="B65" s="31"/>
      <c r="C65" s="252" t="str">
        <f>$B$4&amp;" "&amp;$B$5</f>
        <v>Men C</v>
      </c>
      <c r="D65" s="253"/>
      <c r="E65" s="254"/>
      <c r="F65" s="32"/>
      <c r="G65" s="5"/>
      <c r="H65" s="5"/>
      <c r="I65" s="6"/>
    </row>
    <row r="66" spans="2:9" ht="12.75" customHeight="1">
      <c r="B66" s="31" t="s">
        <v>87</v>
      </c>
      <c r="C66" s="255"/>
      <c r="D66" s="256"/>
      <c r="E66" s="257"/>
      <c r="F66" s="97" t="s">
        <v>32</v>
      </c>
      <c r="G66" s="10" t="str">
        <f>$G$12</f>
        <v>Team</v>
      </c>
      <c r="H66" s="10" t="str">
        <f>$H$12</f>
        <v>City</v>
      </c>
      <c r="I66" s="11" t="str">
        <f>$I$12</f>
        <v>Country</v>
      </c>
    </row>
    <row r="67" spans="2:9" ht="12.75">
      <c r="B67" s="146">
        <v>1</v>
      </c>
      <c r="C67" s="32"/>
      <c r="D67" s="25" t="s">
        <v>64</v>
      </c>
      <c r="E67" s="136">
        <f>$B$67</f>
        <v>1</v>
      </c>
      <c r="F67" s="71" t="str">
        <f aca="true" t="shared" si="0" ref="F67:F74">$B$6&amp;E67</f>
        <v>CA1</v>
      </c>
      <c r="G67" s="5" t="str">
        <f>R58</f>
        <v>W803 (no. 1)</v>
      </c>
      <c r="H67" s="5" t="e">
        <f aca="true" t="shared" si="1" ref="H67:H74">VLOOKUP(G67,$G$13:$I$20,2,FALSE)</f>
        <v>#N/A</v>
      </c>
      <c r="I67" s="6" t="e">
        <f aca="true" t="shared" si="2" ref="I67:I74">VLOOKUP(G67,$G$13:$I$20,3,FALSE)</f>
        <v>#N/A</v>
      </c>
    </row>
    <row r="68" spans="2:9" ht="12.75">
      <c r="B68" s="31"/>
      <c r="C68" s="40"/>
      <c r="D68" s="41" t="s">
        <v>65</v>
      </c>
      <c r="E68" s="137">
        <f aca="true" t="shared" si="3" ref="E68:E74">E67+1</f>
        <v>2</v>
      </c>
      <c r="F68" s="97" t="str">
        <f t="shared" si="0"/>
        <v>CA2</v>
      </c>
      <c r="G68" s="10" t="str">
        <f>S58</f>
        <v>L803 (no. 2)</v>
      </c>
      <c r="H68" s="10" t="e">
        <f t="shared" si="1"/>
        <v>#N/A</v>
      </c>
      <c r="I68" s="11" t="e">
        <f t="shared" si="2"/>
        <v>#N/A</v>
      </c>
    </row>
    <row r="69" spans="2:9" ht="12.75">
      <c r="B69" s="31"/>
      <c r="C69" s="40"/>
      <c r="D69" s="41" t="s">
        <v>66</v>
      </c>
      <c r="E69" s="137">
        <f t="shared" si="3"/>
        <v>3</v>
      </c>
      <c r="F69" s="97" t="str">
        <f t="shared" si="0"/>
        <v>CA3</v>
      </c>
      <c r="G69" s="10" t="str">
        <f>R55</f>
        <v>W603 (no. 3)</v>
      </c>
      <c r="H69" s="10" t="e">
        <f t="shared" si="1"/>
        <v>#N/A</v>
      </c>
      <c r="I69" s="11" t="e">
        <f t="shared" si="2"/>
        <v>#N/A</v>
      </c>
    </row>
    <row r="70" spans="2:9" ht="12.75">
      <c r="B70" s="31"/>
      <c r="C70" s="40"/>
      <c r="D70" s="41"/>
      <c r="E70" s="137">
        <f t="shared" si="3"/>
        <v>4</v>
      </c>
      <c r="F70" s="97" t="str">
        <f t="shared" si="0"/>
        <v>CA4</v>
      </c>
      <c r="G70" s="10" t="str">
        <f>S55</f>
        <v>L603 (no. 4)</v>
      </c>
      <c r="H70" s="10" t="e">
        <f t="shared" si="1"/>
        <v>#N/A</v>
      </c>
      <c r="I70" s="11" t="e">
        <f t="shared" si="2"/>
        <v>#N/A</v>
      </c>
    </row>
    <row r="71" spans="2:9" ht="12.75">
      <c r="B71" s="31"/>
      <c r="C71" s="40"/>
      <c r="D71" s="41"/>
      <c r="E71" s="137">
        <f t="shared" si="3"/>
        <v>5</v>
      </c>
      <c r="F71" s="97" t="str">
        <f t="shared" si="0"/>
        <v>CA5</v>
      </c>
      <c r="G71" s="10" t="str">
        <f>R46</f>
        <v>W510 (no. 5)</v>
      </c>
      <c r="H71" s="10" t="e">
        <f t="shared" si="1"/>
        <v>#N/A</v>
      </c>
      <c r="I71" s="11" t="e">
        <f t="shared" si="2"/>
        <v>#N/A</v>
      </c>
    </row>
    <row r="72" spans="2:9" ht="12.75">
      <c r="B72" s="31"/>
      <c r="C72" s="40"/>
      <c r="D72" s="41"/>
      <c r="E72" s="137">
        <f t="shared" si="3"/>
        <v>6</v>
      </c>
      <c r="F72" s="97" t="str">
        <f t="shared" si="0"/>
        <v>CA6</v>
      </c>
      <c r="G72" s="10" t="str">
        <f>S46</f>
        <v>L510 (no. 6)</v>
      </c>
      <c r="H72" s="10" t="e">
        <f t="shared" si="1"/>
        <v>#N/A</v>
      </c>
      <c r="I72" s="11" t="e">
        <f t="shared" si="2"/>
        <v>#N/A</v>
      </c>
    </row>
    <row r="73" spans="2:9" ht="12.75">
      <c r="B73" s="31"/>
      <c r="C73" s="40"/>
      <c r="D73" s="41"/>
      <c r="E73" s="137">
        <f t="shared" si="3"/>
        <v>7</v>
      </c>
      <c r="F73" s="97" t="str">
        <f t="shared" si="0"/>
        <v>CA7</v>
      </c>
      <c r="G73" s="10" t="str">
        <f>R44</f>
        <v>W509 (no. 7)</v>
      </c>
      <c r="H73" s="10" t="e">
        <f t="shared" si="1"/>
        <v>#N/A</v>
      </c>
      <c r="I73" s="11" t="e">
        <f t="shared" si="2"/>
        <v>#N/A</v>
      </c>
    </row>
    <row r="74" spans="2:9" ht="12.75">
      <c r="B74" s="31"/>
      <c r="C74" s="57"/>
      <c r="D74" s="27"/>
      <c r="E74" s="138">
        <f t="shared" si="3"/>
        <v>8</v>
      </c>
      <c r="F74" s="73" t="str">
        <f t="shared" si="0"/>
        <v>CA8</v>
      </c>
      <c r="G74" s="14" t="str">
        <f>S44</f>
        <v>L509 (no. 8)</v>
      </c>
      <c r="H74" s="14" t="e">
        <f t="shared" si="1"/>
        <v>#N/A</v>
      </c>
      <c r="I74" s="15" t="e">
        <f t="shared" si="2"/>
        <v>#N/A</v>
      </c>
    </row>
    <row r="75" ht="12.75">
      <c r="B75" s="31"/>
    </row>
  </sheetData>
  <mergeCells count="22">
    <mergeCell ref="C4:F6"/>
    <mergeCell ref="C7:F8"/>
    <mergeCell ref="T23:U23"/>
    <mergeCell ref="V23:W23"/>
    <mergeCell ref="C11:F12"/>
    <mergeCell ref="C65:E66"/>
    <mergeCell ref="J23:K23"/>
    <mergeCell ref="L23:M23"/>
    <mergeCell ref="J52:K52"/>
    <mergeCell ref="L52:M52"/>
    <mergeCell ref="F49:I49"/>
    <mergeCell ref="F50:I50"/>
    <mergeCell ref="X52:Y52"/>
    <mergeCell ref="Z52:AA52"/>
    <mergeCell ref="G61:H61"/>
    <mergeCell ref="X23:Y23"/>
    <mergeCell ref="N52:O52"/>
    <mergeCell ref="P52:Q52"/>
    <mergeCell ref="T52:U52"/>
    <mergeCell ref="V52:W52"/>
    <mergeCell ref="N23:O23"/>
    <mergeCell ref="P23:Q23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63" min="2" max="18" man="1"/>
  </rowBreaks>
  <colBreaks count="1" manualBreakCount="1">
    <brk id="17" min="3" max="7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M44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C</v>
      </c>
      <c r="D4" s="261"/>
      <c r="E4" s="261"/>
      <c r="F4" s="262"/>
      <c r="G4" s="5"/>
      <c r="H4" s="17" t="str">
        <f>$A$8&amp;":"</f>
        <v>Venue:</v>
      </c>
      <c r="I4" s="6" t="str">
        <f>$B$8</f>
        <v>OSG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73</v>
      </c>
      <c r="C5" s="263"/>
      <c r="D5" s="264"/>
      <c r="E5" s="264"/>
      <c r="F5" s="265"/>
      <c r="G5" s="10"/>
      <c r="H5" s="19" t="str">
        <f>$A$9&amp;":"</f>
        <v>Court:</v>
      </c>
      <c r="I5" s="20">
        <f>$B$9</f>
        <v>11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76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0.4861111111111111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tr">
        <f>$B$40&amp;" - "&amp;$B$40+3&amp;" ranking"</f>
        <v>9 - 12 ranking</v>
      </c>
      <c r="D7" s="267"/>
      <c r="E7" s="267"/>
      <c r="F7" s="268"/>
      <c r="G7" s="140"/>
      <c r="H7" s="25" t="str">
        <f>"Each match consists of 2 sets of at most "&amp;$B$13&amp;" points."</f>
        <v>Each match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74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11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0.4861111111111111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5</v>
      </c>
      <c r="C11" s="272" t="str">
        <f>$A$6&amp;" "&amp;$B$6</f>
        <v>Group CB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209</v>
      </c>
      <c r="H13" s="5" t="s">
        <v>210</v>
      </c>
      <c r="I13" s="6" t="s">
        <v>192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211</v>
      </c>
      <c r="H14" s="10" t="s">
        <v>212</v>
      </c>
      <c r="I14" s="11" t="s">
        <v>120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213</v>
      </c>
      <c r="H15" s="10" t="s">
        <v>212</v>
      </c>
      <c r="I15" s="11" t="s">
        <v>120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2.75">
      <c r="B16" s="3"/>
      <c r="C16" s="57"/>
      <c r="D16" s="14"/>
      <c r="E16" s="14"/>
      <c r="F16" s="39"/>
      <c r="G16" s="57" t="s">
        <v>214</v>
      </c>
      <c r="H16" s="14" t="s">
        <v>212</v>
      </c>
      <c r="I16" s="15" t="s">
        <v>120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3:39" s="65" customFormat="1" ht="12.75">
      <c r="C17" s="19"/>
      <c r="D17" s="66"/>
      <c r="E17" s="66"/>
      <c r="F17" s="67"/>
      <c r="G17" s="68"/>
      <c r="H17" s="66"/>
      <c r="I17" s="66"/>
      <c r="J17" s="69"/>
      <c r="K17" s="69"/>
      <c r="L17" s="69"/>
      <c r="M17" s="69"/>
      <c r="N17" s="69"/>
      <c r="O17" s="69"/>
      <c r="P17" s="69"/>
      <c r="Q17" s="19"/>
      <c r="AA17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3:39" s="65" customFormat="1" ht="12.75">
      <c r="C18" s="19"/>
      <c r="D18" s="66"/>
      <c r="E18" s="66"/>
      <c r="F18" s="67"/>
      <c r="G18" s="68"/>
      <c r="H18" s="66"/>
      <c r="I18" s="66"/>
      <c r="J18" s="69"/>
      <c r="K18" s="69"/>
      <c r="L18" s="69"/>
      <c r="M18" s="69"/>
      <c r="N18" s="69"/>
      <c r="O18" s="69"/>
      <c r="P18" s="69"/>
      <c r="Q18" s="1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3:35" ht="12.75">
      <c r="C19" s="32"/>
      <c r="D19" s="5"/>
      <c r="E19" s="5"/>
      <c r="F19" s="5"/>
      <c r="G19" s="5"/>
      <c r="H19" s="5"/>
      <c r="I19" s="6"/>
      <c r="J19" s="249" t="s">
        <v>39</v>
      </c>
      <c r="K19" s="250"/>
      <c r="L19" s="249" t="s">
        <v>40</v>
      </c>
      <c r="M19" s="250"/>
      <c r="N19" s="249" t="s">
        <v>78</v>
      </c>
      <c r="O19" s="250"/>
      <c r="P19" s="249" t="s">
        <v>31</v>
      </c>
      <c r="Q19" s="250"/>
      <c r="R19" s="32"/>
      <c r="S19" s="6"/>
      <c r="T19" s="249" t="s">
        <v>39</v>
      </c>
      <c r="U19" s="250"/>
      <c r="V19" s="249" t="s">
        <v>40</v>
      </c>
      <c r="W19" s="250"/>
      <c r="X19" s="249" t="s">
        <v>24</v>
      </c>
      <c r="Y19" s="250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3:25" ht="12.75">
      <c r="C20" s="73" t="s">
        <v>18</v>
      </c>
      <c r="D20" s="74" t="s">
        <v>43</v>
      </c>
      <c r="E20" s="74" t="s">
        <v>17</v>
      </c>
      <c r="F20" s="75" t="s">
        <v>44</v>
      </c>
      <c r="G20" s="76" t="s">
        <v>45</v>
      </c>
      <c r="H20" s="77" t="s">
        <v>46</v>
      </c>
      <c r="I20" s="78" t="s">
        <v>47</v>
      </c>
      <c r="J20" s="79" t="s">
        <v>48</v>
      </c>
      <c r="K20" s="80" t="s">
        <v>49</v>
      </c>
      <c r="L20" s="79" t="s">
        <v>48</v>
      </c>
      <c r="M20" s="80" t="s">
        <v>49</v>
      </c>
      <c r="N20" s="79" t="s">
        <v>48</v>
      </c>
      <c r="O20" s="80" t="s">
        <v>49</v>
      </c>
      <c r="P20" s="81" t="s">
        <v>48</v>
      </c>
      <c r="Q20" s="82" t="s">
        <v>49</v>
      </c>
      <c r="R20" s="57" t="s">
        <v>79</v>
      </c>
      <c r="S20" s="15" t="s">
        <v>80</v>
      </c>
      <c r="T20" s="79" t="s">
        <v>48</v>
      </c>
      <c r="U20" s="80" t="s">
        <v>49</v>
      </c>
      <c r="V20" s="79" t="s">
        <v>48</v>
      </c>
      <c r="W20" s="80" t="s">
        <v>49</v>
      </c>
      <c r="X20" s="79" t="s">
        <v>48</v>
      </c>
      <c r="Y20" s="80" t="s">
        <v>49</v>
      </c>
    </row>
    <row r="21" spans="3:25" ht="12.75">
      <c r="C21" s="71"/>
      <c r="D21" s="25"/>
      <c r="E21" s="25"/>
      <c r="F21" s="25"/>
      <c r="G21" s="5"/>
      <c r="H21" s="5"/>
      <c r="I21" s="6"/>
      <c r="J21" s="71"/>
      <c r="K21" s="72"/>
      <c r="L21" s="71"/>
      <c r="M21" s="72"/>
      <c r="N21" s="83"/>
      <c r="O21" s="17"/>
      <c r="P21" s="71"/>
      <c r="Q21" s="72"/>
      <c r="R21" s="32"/>
      <c r="S21" s="6"/>
      <c r="T21" s="32"/>
      <c r="U21" s="6"/>
      <c r="V21" s="32"/>
      <c r="W21" s="6"/>
      <c r="X21" s="40"/>
      <c r="Y21" s="11"/>
    </row>
    <row r="22" spans="3:25" ht="12.75">
      <c r="C22" s="84">
        <f>$B$10+(D22-$B$11)*($B$12/60/24+TIME(0,5,0))</f>
        <v>0.4861111111111111</v>
      </c>
      <c r="D22" s="85">
        <f>$B$11</f>
        <v>5</v>
      </c>
      <c r="E22" s="85">
        <f>$B$9</f>
        <v>11</v>
      </c>
      <c r="F22" s="85">
        <f>$E22+$D22*100</f>
        <v>511</v>
      </c>
      <c r="G22" s="86" t="str">
        <f>G13</f>
        <v>OutBreak</v>
      </c>
      <c r="H22" s="86" t="str">
        <f>G16</f>
        <v>Supremes</v>
      </c>
      <c r="I22" s="87" t="str">
        <f>G15</f>
        <v>Pink Panther</v>
      </c>
      <c r="J22" s="88"/>
      <c r="K22" s="87"/>
      <c r="L22" s="88"/>
      <c r="M22" s="87"/>
      <c r="N22" s="188">
        <f>SUM(J22,L22)</f>
        <v>0</v>
      </c>
      <c r="O22" s="189">
        <f>SUM(K22,M22)</f>
        <v>0</v>
      </c>
      <c r="P22" s="190">
        <f>SUM(T22,V22)</f>
        <v>2</v>
      </c>
      <c r="Q22" s="191">
        <f>SUM(U22,W22)</f>
        <v>2</v>
      </c>
      <c r="R22" s="40" t="str">
        <f>IF(P22&gt;Q22,G22,IF(P22&lt;Q22,H22,IF(N22&gt;O22,G22,IF(N22&lt;O22,H22,IF(X22&gt;Y22,G22,IF(X22&lt;Y22,H22,"W"&amp;F22&amp;" (no. 1 - 2)"))))))</f>
        <v>W511 (no. 1 - 2)</v>
      </c>
      <c r="S22" s="11" t="str">
        <f>IF(P22&gt;Q22,H22,IF(P22&lt;Q22,G22,IF(N22&gt;O22,H22,IF(N22&lt;O22,G22,IF(X22&gt;Y22,H22,IF(X22&lt;Y22,G22,"L"&amp;F22&amp;" (no. 3 - 4)"))))))</f>
        <v>L511 (no. 3 - 4)</v>
      </c>
      <c r="T22" s="51">
        <f>IF(J22&gt;K22,2,IF(J22=K22,1,0))</f>
        <v>1</v>
      </c>
      <c r="U22" s="53">
        <f>IF(K22&gt;J22,2,IF(K22=J22,1,0))</f>
        <v>1</v>
      </c>
      <c r="V22" s="51">
        <f>IF(L22&gt;M22,2,IF(L22=M22,1,0))</f>
        <v>1</v>
      </c>
      <c r="W22" s="53">
        <f>IF(M22&gt;L22,2,IF(M22=L22,1,0))</f>
        <v>1</v>
      </c>
      <c r="X22" s="40"/>
      <c r="Y22" s="11"/>
    </row>
    <row r="23" spans="2:25" ht="12.75">
      <c r="B23" s="31"/>
      <c r="C23" s="84"/>
      <c r="D23" s="85"/>
      <c r="E23" s="85"/>
      <c r="F23" s="85"/>
      <c r="G23" s="30"/>
      <c r="H23" s="30"/>
      <c r="I23" s="87"/>
      <c r="J23" s="92"/>
      <c r="K23" s="93"/>
      <c r="L23" s="92"/>
      <c r="M23" s="93"/>
      <c r="N23" s="188"/>
      <c r="O23" s="189"/>
      <c r="P23" s="190"/>
      <c r="Q23" s="191"/>
      <c r="R23" s="40"/>
      <c r="S23" s="11"/>
      <c r="T23" s="51"/>
      <c r="U23" s="53"/>
      <c r="V23" s="51"/>
      <c r="W23" s="53"/>
      <c r="X23" s="40"/>
      <c r="Y23" s="11"/>
    </row>
    <row r="24" spans="2:25" ht="12.75">
      <c r="B24" s="31"/>
      <c r="C24" s="84">
        <f>$B$10+(D24-$B$11)*($B$12/60/24+TIME(0,5,0))</f>
        <v>0.5138888888888888</v>
      </c>
      <c r="D24" s="145">
        <f>$B$11+1</f>
        <v>6</v>
      </c>
      <c r="E24" s="85">
        <f>$B$9</f>
        <v>11</v>
      </c>
      <c r="F24" s="85">
        <f>$E24+$D24*100</f>
        <v>611</v>
      </c>
      <c r="G24" s="30" t="str">
        <f>G15</f>
        <v>Pink Panther</v>
      </c>
      <c r="H24" s="30" t="str">
        <f>G14</f>
        <v>Nijmegen 2000</v>
      </c>
      <c r="I24" s="87" t="str">
        <f>G13</f>
        <v>OutBreak</v>
      </c>
      <c r="J24" s="92"/>
      <c r="K24" s="93"/>
      <c r="L24" s="92"/>
      <c r="M24" s="93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1 - 2)"))))))</f>
        <v>W611 (no. 1 - 2)</v>
      </c>
      <c r="S24" s="11" t="str">
        <f>IF(P24&gt;Q24,H24,IF(P24&lt;Q24,G24,IF(N24&gt;O24,H24,IF(N24&lt;O24,G24,IF(X24&gt;Y24,H24,IF(X24&lt;Y24,G24,"L"&amp;F24&amp;" (no. 3 - 4)"))))))</f>
        <v>L611 (no. 3 - 4)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2:25" ht="12.75">
      <c r="B25" s="31"/>
      <c r="C25" s="84"/>
      <c r="D25" s="85"/>
      <c r="E25" s="85"/>
      <c r="F25" s="85"/>
      <c r="G25" s="30"/>
      <c r="H25" s="30"/>
      <c r="I25" s="87"/>
      <c r="J25" s="92"/>
      <c r="K25" s="93"/>
      <c r="L25" s="92"/>
      <c r="M25" s="93"/>
      <c r="N25" s="192"/>
      <c r="O25" s="193"/>
      <c r="P25" s="194"/>
      <c r="Q25" s="195"/>
      <c r="R25" s="57"/>
      <c r="S25" s="15"/>
      <c r="T25" s="99"/>
      <c r="U25" s="100"/>
      <c r="V25" s="99"/>
      <c r="W25" s="100"/>
      <c r="X25" s="57"/>
      <c r="Y25" s="15"/>
    </row>
    <row r="26" spans="3:25" ht="12.75">
      <c r="C26" s="71"/>
      <c r="D26" s="25"/>
      <c r="E26" s="25"/>
      <c r="F26" s="25"/>
      <c r="G26" s="5"/>
      <c r="H26" s="5"/>
      <c r="I26" s="6"/>
      <c r="J26" s="71"/>
      <c r="K26" s="72"/>
      <c r="L26" s="71"/>
      <c r="M26" s="72"/>
      <c r="N26" s="196"/>
      <c r="O26" s="197"/>
      <c r="P26" s="196"/>
      <c r="Q26" s="198"/>
      <c r="R26" s="32"/>
      <c r="S26" s="6"/>
      <c r="T26" s="32"/>
      <c r="U26" s="6"/>
      <c r="V26" s="32"/>
      <c r="W26" s="6"/>
      <c r="X26" s="32"/>
      <c r="Y26" s="6"/>
    </row>
    <row r="27" spans="1:25" ht="12.75">
      <c r="A27" s="147"/>
      <c r="B27" s="143"/>
      <c r="C27" s="84">
        <f>$B$10+(D27-$B$11)*($B$12/60/24+TIME(0,5,0))</f>
        <v>0.5416666666666666</v>
      </c>
      <c r="D27" s="85">
        <f>$B$11+2</f>
        <v>7</v>
      </c>
      <c r="E27" s="85">
        <f>$B$9</f>
        <v>11</v>
      </c>
      <c r="F27" s="85">
        <f>$E27+$D27*100</f>
        <v>711</v>
      </c>
      <c r="G27" s="148" t="str">
        <f>S24</f>
        <v>L611 (no. 3 - 4)</v>
      </c>
      <c r="H27" s="148" t="str">
        <f>S22</f>
        <v>L511 (no. 3 - 4)</v>
      </c>
      <c r="I27" s="149" t="str">
        <f>R22</f>
        <v>W511 (no. 1 - 2)</v>
      </c>
      <c r="J27" s="88"/>
      <c r="K27" s="87"/>
      <c r="L27" s="88"/>
      <c r="M27" s="87"/>
      <c r="N27" s="188">
        <f>SUM(J27,L27)</f>
        <v>0</v>
      </c>
      <c r="O27" s="189">
        <f>SUM(K27,M27)</f>
        <v>0</v>
      </c>
      <c r="P27" s="190">
        <f>SUM(T27,V27)</f>
        <v>2</v>
      </c>
      <c r="Q27" s="191">
        <f>SUM(U27,W27)</f>
        <v>2</v>
      </c>
      <c r="R27" s="40" t="str">
        <f>IF(P27&gt;Q27,G27,IF(P27&lt;Q27,H27,IF(N27&gt;O27,G27,IF(N27&lt;O27,H27,IF(X27&gt;Y27,G27,IF(X27&lt;Y27,H27,"W"&amp;F27&amp;" (no. 3)"))))))</f>
        <v>W711 (no. 3)</v>
      </c>
      <c r="S27" s="11" t="str">
        <f>IF(P27&gt;Q27,H27,IF(P27&lt;Q27,G27,IF(N27&gt;O27,H27,IF(N27&lt;O27,G27,IF(X27&gt;Y27,H27,IF(X27&lt;Y27,G27,"L"&amp;F27&amp;" (no. 4)"))))))</f>
        <v>L711 (no. 4)</v>
      </c>
      <c r="T27" s="51">
        <f>IF(J27&gt;K27,2,IF(J27=K27,1,0))</f>
        <v>1</v>
      </c>
      <c r="U27" s="53">
        <f>IF(K27&gt;J27,2,IF(K27=J27,1,0))</f>
        <v>1</v>
      </c>
      <c r="V27" s="51">
        <f>IF(L27&gt;M27,2,IF(L27=M27,1,0))</f>
        <v>1</v>
      </c>
      <c r="W27" s="53">
        <f>IF(M27&gt;L27,2,IF(M27=L27,1,0))</f>
        <v>1</v>
      </c>
      <c r="X27" s="40"/>
      <c r="Y27" s="11"/>
    </row>
    <row r="28" spans="1:25" ht="24.75" customHeight="1">
      <c r="A28" s="147"/>
      <c r="B28" s="143"/>
      <c r="C28" s="84"/>
      <c r="D28" s="85"/>
      <c r="E28" s="159"/>
      <c r="F28" s="159"/>
      <c r="G28" s="237"/>
      <c r="H28" s="237"/>
      <c r="I28" s="238"/>
      <c r="J28" s="88"/>
      <c r="K28" s="87"/>
      <c r="L28" s="88"/>
      <c r="M28" s="87"/>
      <c r="N28" s="188"/>
      <c r="O28" s="189"/>
      <c r="P28" s="190"/>
      <c r="Q28" s="191"/>
      <c r="R28" s="40"/>
      <c r="S28" s="11"/>
      <c r="T28" s="51"/>
      <c r="U28" s="53"/>
      <c r="V28" s="51"/>
      <c r="W28" s="53"/>
      <c r="X28" s="40"/>
      <c r="Y28" s="11"/>
    </row>
    <row r="29" spans="1:25" ht="12.75">
      <c r="A29" s="143"/>
      <c r="B29" s="142"/>
      <c r="C29" s="84"/>
      <c r="D29" s="145"/>
      <c r="E29" s="152"/>
      <c r="F29" s="145"/>
      <c r="G29" s="150"/>
      <c r="H29" s="150"/>
      <c r="I29" s="151"/>
      <c r="J29" s="92"/>
      <c r="K29" s="93"/>
      <c r="L29" s="92"/>
      <c r="M29" s="93"/>
      <c r="N29" s="188"/>
      <c r="O29" s="189"/>
      <c r="P29" s="190"/>
      <c r="Q29" s="191"/>
      <c r="R29" s="40"/>
      <c r="S29" s="11"/>
      <c r="T29" s="51"/>
      <c r="U29" s="53"/>
      <c r="V29" s="51"/>
      <c r="W29" s="53"/>
      <c r="X29" s="40"/>
      <c r="Y29" s="11"/>
    </row>
    <row r="30" spans="1:25" ht="12.75">
      <c r="A30" s="143"/>
      <c r="B30" s="142"/>
      <c r="C30" s="84">
        <f>$B$10+(D30-$B$11)*($B$12/60/24+TIME(0,5,0))</f>
        <v>0.5694444444444444</v>
      </c>
      <c r="D30" s="85">
        <f>$B$11+3</f>
        <v>8</v>
      </c>
      <c r="E30" s="85">
        <f>$B$9</f>
        <v>11</v>
      </c>
      <c r="F30" s="85">
        <f>$E30+$D30*100</f>
        <v>811</v>
      </c>
      <c r="G30" s="144" t="str">
        <f>R22</f>
        <v>W511 (no. 1 - 2)</v>
      </c>
      <c r="H30" s="144" t="str">
        <f>R24</f>
        <v>W611 (no. 1 - 2)</v>
      </c>
      <c r="I30" s="151" t="str">
        <f>S24</f>
        <v>L611 (no. 3 - 4)</v>
      </c>
      <c r="J30" s="92"/>
      <c r="K30" s="93"/>
      <c r="L30" s="92"/>
      <c r="M30" s="93"/>
      <c r="N30" s="188">
        <f>SUM(J30,L30)</f>
        <v>0</v>
      </c>
      <c r="O30" s="189">
        <f>SUM(K30,M30)</f>
        <v>0</v>
      </c>
      <c r="P30" s="190">
        <f>SUM(T30,V30)</f>
        <v>2</v>
      </c>
      <c r="Q30" s="191">
        <f>SUM(U30,W30)</f>
        <v>2</v>
      </c>
      <c r="R30" s="40" t="str">
        <f>IF(P30&gt;Q30,G30,IF(P30&lt;Q30,H30,IF(N30&gt;O30,G30,IF(N30&lt;O30,H30,IF(X30&gt;Y30,G30,IF(X30&lt;Y30,H30,"W"&amp;F30&amp;" (no. 1)"))))))</f>
        <v>W811 (no. 1)</v>
      </c>
      <c r="S30" s="11" t="str">
        <f>IF(P30&gt;Q30,H30,IF(P30&lt;Q30,G30,IF(N30&gt;O30,H30,IF(N30&lt;O30,G30,IF(X30&gt;Y30,H30,IF(X30&lt;Y30,G30,"L"&amp;F30&amp;" (no. 2)"))))))</f>
        <v>L811 (no. 2)</v>
      </c>
      <c r="T30" s="51">
        <f>IF(J30&gt;K30,2,IF(J30=K30,1,0))</f>
        <v>1</v>
      </c>
      <c r="U30" s="53">
        <f>IF(K30&gt;J30,2,IF(K30=J30,1,0))</f>
        <v>1</v>
      </c>
      <c r="V30" s="51">
        <f>IF(L30&gt;M30,2,IF(L30=M30,1,0))</f>
        <v>1</v>
      </c>
      <c r="W30" s="53">
        <f>IF(M30&gt;L30,2,IF(M30=L30,1,0))</f>
        <v>1</v>
      </c>
      <c r="X30" s="40"/>
      <c r="Y30" s="11"/>
    </row>
    <row r="31" spans="1:25" ht="24.75" customHeight="1">
      <c r="A31" s="143"/>
      <c r="B31" s="142"/>
      <c r="C31" s="84"/>
      <c r="D31" s="85"/>
      <c r="E31" s="159"/>
      <c r="F31" s="159"/>
      <c r="G31" s="235"/>
      <c r="H31" s="235"/>
      <c r="I31" s="236"/>
      <c r="J31" s="92"/>
      <c r="K31" s="93"/>
      <c r="L31" s="92"/>
      <c r="M31" s="93"/>
      <c r="N31" s="188"/>
      <c r="O31" s="189"/>
      <c r="P31" s="190"/>
      <c r="Q31" s="191"/>
      <c r="R31" s="40"/>
      <c r="S31" s="11"/>
      <c r="T31" s="51"/>
      <c r="U31" s="53"/>
      <c r="V31" s="51"/>
      <c r="W31" s="53"/>
      <c r="X31" s="40"/>
      <c r="Y31" s="11"/>
    </row>
    <row r="32" spans="3:25" ht="12.75">
      <c r="C32" s="84"/>
      <c r="D32" s="85"/>
      <c r="E32" s="85"/>
      <c r="F32" s="85"/>
      <c r="G32" s="86"/>
      <c r="H32" s="86"/>
      <c r="I32" s="87"/>
      <c r="J32" s="88"/>
      <c r="K32" s="87"/>
      <c r="L32" s="88"/>
      <c r="M32" s="87"/>
      <c r="N32" s="169"/>
      <c r="O32" s="85"/>
      <c r="P32" s="99"/>
      <c r="Q32" s="100"/>
      <c r="R32" s="40"/>
      <c r="S32" s="11"/>
      <c r="T32" s="51"/>
      <c r="U32" s="53"/>
      <c r="V32" s="51"/>
      <c r="W32" s="53"/>
      <c r="X32" s="40"/>
      <c r="Y32" s="11"/>
    </row>
    <row r="33" spans="3:25" ht="12.75" customHeight="1">
      <c r="C33" s="84">
        <f>$B$10+(D33-$B$11)*($B$12/60/24+TIME(0,5,0))</f>
        <v>0.5972222222222222</v>
      </c>
      <c r="D33" s="201">
        <f>$B$11+4</f>
        <v>9</v>
      </c>
      <c r="E33" s="102" t="s">
        <v>51</v>
      </c>
      <c r="F33" s="258" t="s">
        <v>98</v>
      </c>
      <c r="G33" s="258"/>
      <c r="H33" s="258"/>
      <c r="I33" s="259"/>
      <c r="J33" s="88"/>
      <c r="K33" s="87"/>
      <c r="L33" s="88"/>
      <c r="M33" s="87"/>
      <c r="N33" s="169"/>
      <c r="O33" s="85"/>
      <c r="P33" s="99"/>
      <c r="Q33" s="100"/>
      <c r="R33" s="40"/>
      <c r="S33" s="11"/>
      <c r="T33" s="51"/>
      <c r="U33" s="53"/>
      <c r="V33" s="51"/>
      <c r="W33" s="53"/>
      <c r="X33" s="40"/>
      <c r="Y33" s="11"/>
    </row>
    <row r="34" spans="3:25" ht="12.75" customHeight="1">
      <c r="C34" s="84"/>
      <c r="D34" s="85"/>
      <c r="E34" s="102"/>
      <c r="F34" s="258" t="s">
        <v>97</v>
      </c>
      <c r="G34" s="258"/>
      <c r="H34" s="258"/>
      <c r="I34" s="259"/>
      <c r="J34" s="88"/>
      <c r="K34" s="87"/>
      <c r="L34" s="88"/>
      <c r="M34" s="87"/>
      <c r="N34" s="89"/>
      <c r="O34" s="90"/>
      <c r="P34" s="99"/>
      <c r="Q34" s="100"/>
      <c r="R34" s="40"/>
      <c r="S34" s="11"/>
      <c r="T34" s="51"/>
      <c r="U34" s="53"/>
      <c r="V34" s="51"/>
      <c r="W34" s="53"/>
      <c r="X34" s="40"/>
      <c r="Y34" s="11"/>
    </row>
    <row r="35" spans="2:25" ht="12.75">
      <c r="B35" s="31"/>
      <c r="C35" s="158"/>
      <c r="D35" s="159"/>
      <c r="E35" s="159"/>
      <c r="F35" s="159"/>
      <c r="G35" s="160"/>
      <c r="H35" s="160"/>
      <c r="I35" s="161"/>
      <c r="J35" s="162"/>
      <c r="K35" s="163"/>
      <c r="L35" s="162"/>
      <c r="M35" s="163"/>
      <c r="N35" s="164"/>
      <c r="O35" s="165"/>
      <c r="P35" s="166"/>
      <c r="Q35" s="167"/>
      <c r="R35" s="57"/>
      <c r="S35" s="15"/>
      <c r="T35" s="166"/>
      <c r="U35" s="167"/>
      <c r="V35" s="166"/>
      <c r="W35" s="167"/>
      <c r="X35" s="57"/>
      <c r="Y35" s="15"/>
    </row>
    <row r="36" spans="2:17" ht="12.75">
      <c r="B36" s="31"/>
      <c r="C36" s="105"/>
      <c r="D36" s="8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ht="12.75">
      <c r="B37" s="31"/>
    </row>
    <row r="38" spans="2:9" ht="12.75" customHeight="1">
      <c r="B38" s="31"/>
      <c r="C38" s="252" t="str">
        <f>$B$4&amp;" "&amp;$B$5</f>
        <v>Men C</v>
      </c>
      <c r="D38" s="253"/>
      <c r="E38" s="254"/>
      <c r="F38" s="32"/>
      <c r="G38" s="5"/>
      <c r="H38" s="5"/>
      <c r="I38" s="6"/>
    </row>
    <row r="39" spans="2:9" ht="12.75" customHeight="1">
      <c r="B39" s="31" t="s">
        <v>87</v>
      </c>
      <c r="C39" s="255"/>
      <c r="D39" s="256"/>
      <c r="E39" s="257"/>
      <c r="F39" s="97" t="s">
        <v>32</v>
      </c>
      <c r="G39" s="10" t="str">
        <f>$G$12</f>
        <v>Team</v>
      </c>
      <c r="H39" s="10" t="str">
        <f>$H$12</f>
        <v>City</v>
      </c>
      <c r="I39" s="11" t="str">
        <f>$I$12</f>
        <v>Country</v>
      </c>
    </row>
    <row r="40" spans="2:9" ht="12.75">
      <c r="B40" s="146">
        <v>9</v>
      </c>
      <c r="C40" s="32"/>
      <c r="D40" s="25"/>
      <c r="E40" s="136">
        <f>$B$40</f>
        <v>9</v>
      </c>
      <c r="F40" s="71" t="str">
        <f>$B$6&amp;E40-$B$40+1</f>
        <v>CB1</v>
      </c>
      <c r="G40" s="5" t="str">
        <f>R30</f>
        <v>W811 (no. 1)</v>
      </c>
      <c r="H40" s="5" t="e">
        <f>VLOOKUP(G40,$G$13:$I$16,2,FALSE)</f>
        <v>#N/A</v>
      </c>
      <c r="I40" s="6" t="e">
        <f>VLOOKUP(G40,$G$13:$I$16,3,FALSE)</f>
        <v>#N/A</v>
      </c>
    </row>
    <row r="41" spans="2:9" ht="12.75">
      <c r="B41" s="31"/>
      <c r="C41" s="40"/>
      <c r="D41" s="41"/>
      <c r="E41" s="137">
        <f>E40+1</f>
        <v>10</v>
      </c>
      <c r="F41" s="97" t="str">
        <f>$B$6&amp;E41-$B$40+1</f>
        <v>CB2</v>
      </c>
      <c r="G41" s="10" t="str">
        <f>S30</f>
        <v>L811 (no. 2)</v>
      </c>
      <c r="H41" s="10" t="e">
        <f>VLOOKUP(G41,$G$13:$I$16,2,FALSE)</f>
        <v>#N/A</v>
      </c>
      <c r="I41" s="11" t="e">
        <f>VLOOKUP(G41,$G$13:$I$16,3,FALSE)</f>
        <v>#N/A</v>
      </c>
    </row>
    <row r="42" spans="2:9" ht="12.75">
      <c r="B42" s="31"/>
      <c r="C42" s="40"/>
      <c r="D42" s="41"/>
      <c r="E42" s="137">
        <f>E41+1</f>
        <v>11</v>
      </c>
      <c r="F42" s="97" t="str">
        <f>$B$6&amp;E42-$B$40+1</f>
        <v>CB3</v>
      </c>
      <c r="G42" s="10" t="str">
        <f>R27</f>
        <v>W711 (no. 3)</v>
      </c>
      <c r="H42" s="10" t="e">
        <f>VLOOKUP(G42,$G$13:$I$16,2,FALSE)</f>
        <v>#N/A</v>
      </c>
      <c r="I42" s="11" t="e">
        <f>VLOOKUP(G42,$G$13:$I$16,3,FALSE)</f>
        <v>#N/A</v>
      </c>
    </row>
    <row r="43" spans="2:9" ht="12.75">
      <c r="B43" s="31"/>
      <c r="C43" s="57"/>
      <c r="D43" s="27"/>
      <c r="E43" s="138">
        <f>E42+1</f>
        <v>12</v>
      </c>
      <c r="F43" s="73" t="str">
        <f>$B$6&amp;E43-$B$40+1</f>
        <v>CB4</v>
      </c>
      <c r="G43" s="14" t="str">
        <f>S27</f>
        <v>L711 (no. 4)</v>
      </c>
      <c r="H43" s="14" t="e">
        <f>VLOOKUP(G43,$G$13:$I$16,2,FALSE)</f>
        <v>#N/A</v>
      </c>
      <c r="I43" s="15" t="e">
        <f>VLOOKUP(G43,$G$13:$I$16,3,FALSE)</f>
        <v>#N/A</v>
      </c>
    </row>
    <row r="44" ht="12.75">
      <c r="B44" s="31"/>
    </row>
  </sheetData>
  <mergeCells count="13">
    <mergeCell ref="C4:F6"/>
    <mergeCell ref="C7:F8"/>
    <mergeCell ref="T19:U19"/>
    <mergeCell ref="V19:W19"/>
    <mergeCell ref="C11:F12"/>
    <mergeCell ref="X19:Y19"/>
    <mergeCell ref="N19:O19"/>
    <mergeCell ref="P19:Q19"/>
    <mergeCell ref="C38:E39"/>
    <mergeCell ref="J19:K19"/>
    <mergeCell ref="L19:M19"/>
    <mergeCell ref="F33:I33"/>
    <mergeCell ref="F34:I34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36" min="2" max="18" man="1"/>
  </rowBreaks>
  <colBreaks count="1" manualBreakCount="1">
    <brk id="17" min="3" max="4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M44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C</v>
      </c>
      <c r="D4" s="261"/>
      <c r="E4" s="261"/>
      <c r="F4" s="262"/>
      <c r="G4" s="5"/>
      <c r="H4" s="17" t="str">
        <f>$A$8&amp;":"</f>
        <v>Venue:</v>
      </c>
      <c r="I4" s="6" t="str">
        <f>$B$8</f>
        <v>OSG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73</v>
      </c>
      <c r="C5" s="263"/>
      <c r="D5" s="264"/>
      <c r="E5" s="264"/>
      <c r="F5" s="265"/>
      <c r="G5" s="10"/>
      <c r="H5" s="19" t="str">
        <f>$A$9&amp;":"</f>
        <v>Court:</v>
      </c>
      <c r="I5" s="20">
        <f>$B$9</f>
        <v>12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77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0.4861111111111111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tr">
        <f>$B$40&amp;" - "&amp;$B$40+3&amp;" ranking"</f>
        <v>13 - 16 ranking</v>
      </c>
      <c r="D7" s="267"/>
      <c r="E7" s="267"/>
      <c r="F7" s="268"/>
      <c r="G7" s="140"/>
      <c r="H7" s="25" t="str">
        <f>"Each match consists of 2 sets of at most "&amp;$B$13&amp;" points."</f>
        <v>Each match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74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12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0.4861111111111111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5</v>
      </c>
      <c r="C11" s="272" t="str">
        <f>$A$6&amp;" "&amp;$B$6</f>
        <v>Group CC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215</v>
      </c>
      <c r="H13" s="5" t="s">
        <v>216</v>
      </c>
      <c r="I13" s="6" t="s">
        <v>148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217</v>
      </c>
      <c r="H14" s="10" t="s">
        <v>139</v>
      </c>
      <c r="I14" s="11" t="s">
        <v>120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218</v>
      </c>
      <c r="H15" s="10" t="s">
        <v>219</v>
      </c>
      <c r="I15" s="11" t="s">
        <v>220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2.75">
      <c r="B16" s="3"/>
      <c r="C16" s="57"/>
      <c r="D16" s="14"/>
      <c r="E16" s="14"/>
      <c r="F16" s="39"/>
      <c r="G16" s="57" t="s">
        <v>221</v>
      </c>
      <c r="H16" s="14" t="s">
        <v>166</v>
      </c>
      <c r="I16" s="15" t="s">
        <v>167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3:39" s="65" customFormat="1" ht="12.75">
      <c r="C17" s="19"/>
      <c r="D17" s="66"/>
      <c r="E17" s="66"/>
      <c r="F17" s="67"/>
      <c r="G17" s="68"/>
      <c r="H17" s="66"/>
      <c r="I17" s="66"/>
      <c r="J17" s="69"/>
      <c r="K17" s="69"/>
      <c r="L17" s="69"/>
      <c r="M17" s="69"/>
      <c r="N17" s="69"/>
      <c r="O17" s="69"/>
      <c r="P17" s="69"/>
      <c r="Q17" s="19"/>
      <c r="AA17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3:39" s="65" customFormat="1" ht="12.75">
      <c r="C18" s="19"/>
      <c r="D18" s="66"/>
      <c r="E18" s="66"/>
      <c r="F18" s="67"/>
      <c r="G18" s="68"/>
      <c r="H18" s="66"/>
      <c r="I18" s="66"/>
      <c r="J18" s="69"/>
      <c r="K18" s="69"/>
      <c r="L18" s="69"/>
      <c r="M18" s="69"/>
      <c r="N18" s="69"/>
      <c r="O18" s="69"/>
      <c r="P18" s="69"/>
      <c r="Q18" s="1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3:35" ht="12.75">
      <c r="C19" s="32"/>
      <c r="D19" s="5"/>
      <c r="E19" s="5"/>
      <c r="F19" s="5"/>
      <c r="G19" s="5"/>
      <c r="H19" s="5"/>
      <c r="I19" s="6"/>
      <c r="J19" s="249" t="s">
        <v>39</v>
      </c>
      <c r="K19" s="250"/>
      <c r="L19" s="249" t="s">
        <v>40</v>
      </c>
      <c r="M19" s="250"/>
      <c r="N19" s="249" t="s">
        <v>78</v>
      </c>
      <c r="O19" s="250"/>
      <c r="P19" s="249" t="s">
        <v>31</v>
      </c>
      <c r="Q19" s="250"/>
      <c r="R19" s="32"/>
      <c r="S19" s="6"/>
      <c r="T19" s="249" t="s">
        <v>39</v>
      </c>
      <c r="U19" s="250"/>
      <c r="V19" s="249" t="s">
        <v>40</v>
      </c>
      <c r="W19" s="250"/>
      <c r="X19" s="249" t="s">
        <v>24</v>
      </c>
      <c r="Y19" s="250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3:25" ht="12.75">
      <c r="C20" s="73" t="s">
        <v>18</v>
      </c>
      <c r="D20" s="74" t="s">
        <v>43</v>
      </c>
      <c r="E20" s="74" t="s">
        <v>17</v>
      </c>
      <c r="F20" s="75" t="s">
        <v>44</v>
      </c>
      <c r="G20" s="76" t="s">
        <v>45</v>
      </c>
      <c r="H20" s="77" t="s">
        <v>46</v>
      </c>
      <c r="I20" s="78" t="s">
        <v>47</v>
      </c>
      <c r="J20" s="79" t="s">
        <v>48</v>
      </c>
      <c r="K20" s="80" t="s">
        <v>49</v>
      </c>
      <c r="L20" s="79" t="s">
        <v>48</v>
      </c>
      <c r="M20" s="80" t="s">
        <v>49</v>
      </c>
      <c r="N20" s="79" t="s">
        <v>48</v>
      </c>
      <c r="O20" s="80" t="s">
        <v>49</v>
      </c>
      <c r="P20" s="81" t="s">
        <v>48</v>
      </c>
      <c r="Q20" s="82" t="s">
        <v>49</v>
      </c>
      <c r="R20" s="57" t="s">
        <v>79</v>
      </c>
      <c r="S20" s="15" t="s">
        <v>80</v>
      </c>
      <c r="T20" s="79" t="s">
        <v>48</v>
      </c>
      <c r="U20" s="80" t="s">
        <v>49</v>
      </c>
      <c r="V20" s="79" t="s">
        <v>48</v>
      </c>
      <c r="W20" s="80" t="s">
        <v>49</v>
      </c>
      <c r="X20" s="79" t="s">
        <v>48</v>
      </c>
      <c r="Y20" s="80" t="s">
        <v>49</v>
      </c>
    </row>
    <row r="21" spans="3:25" ht="12.75">
      <c r="C21" s="71"/>
      <c r="D21" s="25"/>
      <c r="E21" s="25"/>
      <c r="F21" s="25"/>
      <c r="G21" s="5"/>
      <c r="H21" s="5"/>
      <c r="I21" s="6"/>
      <c r="J21" s="71"/>
      <c r="K21" s="72"/>
      <c r="L21" s="71"/>
      <c r="M21" s="72"/>
      <c r="N21" s="83"/>
      <c r="O21" s="17"/>
      <c r="P21" s="71"/>
      <c r="Q21" s="72"/>
      <c r="R21" s="32"/>
      <c r="S21" s="6"/>
      <c r="T21" s="32"/>
      <c r="U21" s="6"/>
      <c r="V21" s="32"/>
      <c r="W21" s="6"/>
      <c r="X21" s="40"/>
      <c r="Y21" s="11"/>
    </row>
    <row r="22" spans="3:25" ht="12.75">
      <c r="C22" s="84">
        <f>$B$10+(D22-$B$11)*($B$12/60/24+TIME(0,5,0))</f>
        <v>0.4861111111111111</v>
      </c>
      <c r="D22" s="85">
        <f>$B$11</f>
        <v>5</v>
      </c>
      <c r="E22" s="85">
        <f>$B$9</f>
        <v>12</v>
      </c>
      <c r="F22" s="85">
        <f>$E22+$D22*100</f>
        <v>512</v>
      </c>
      <c r="G22" s="86" t="str">
        <f>G13</f>
        <v>Copenhagen III</v>
      </c>
      <c r="H22" s="86" t="str">
        <f>G16</f>
        <v>Fat Cats</v>
      </c>
      <c r="I22" s="87" t="str">
        <f>G15</f>
        <v>Rainbow Warriors 1</v>
      </c>
      <c r="J22" s="88"/>
      <c r="K22" s="87"/>
      <c r="L22" s="88"/>
      <c r="M22" s="87"/>
      <c r="N22" s="188">
        <f>SUM(J22,L22)</f>
        <v>0</v>
      </c>
      <c r="O22" s="189">
        <f>SUM(K22,M22)</f>
        <v>0</v>
      </c>
      <c r="P22" s="190">
        <f>SUM(T22,V22)</f>
        <v>2</v>
      </c>
      <c r="Q22" s="191">
        <f>SUM(U22,W22)</f>
        <v>2</v>
      </c>
      <c r="R22" s="40" t="str">
        <f>IF(P22&gt;Q22,G22,IF(P22&lt;Q22,H22,IF(N22&gt;O22,G22,IF(N22&lt;O22,H22,IF(X22&gt;Y22,G22,IF(X22&lt;Y22,H22,"W"&amp;F22&amp;" (no. 1 - 2)"))))))</f>
        <v>W512 (no. 1 - 2)</v>
      </c>
      <c r="S22" s="11" t="str">
        <f>IF(P22&gt;Q22,H22,IF(P22&lt;Q22,G22,IF(N22&gt;O22,H22,IF(N22&lt;O22,G22,IF(X22&gt;Y22,H22,IF(X22&lt;Y22,G22,"L"&amp;F22&amp;" (no. 3 - 4)"))))))</f>
        <v>L512 (no. 3 - 4)</v>
      </c>
      <c r="T22" s="51">
        <f>IF(J22&gt;K22,2,IF(J22=K22,1,0))</f>
        <v>1</v>
      </c>
      <c r="U22" s="53">
        <f>IF(K22&gt;J22,2,IF(K22=J22,1,0))</f>
        <v>1</v>
      </c>
      <c r="V22" s="51">
        <f>IF(L22&gt;M22,2,IF(L22=M22,1,0))</f>
        <v>1</v>
      </c>
      <c r="W22" s="53">
        <f>IF(M22&gt;L22,2,IF(M22=L22,1,0))</f>
        <v>1</v>
      </c>
      <c r="X22" s="40"/>
      <c r="Y22" s="11"/>
    </row>
    <row r="23" spans="2:25" ht="12.75">
      <c r="B23" s="31"/>
      <c r="C23" s="84"/>
      <c r="D23" s="85"/>
      <c r="E23" s="85"/>
      <c r="F23" s="85"/>
      <c r="G23" s="30"/>
      <c r="H23" s="30"/>
      <c r="I23" s="87"/>
      <c r="J23" s="92"/>
      <c r="K23" s="93"/>
      <c r="L23" s="92"/>
      <c r="M23" s="93"/>
      <c r="N23" s="188"/>
      <c r="O23" s="189"/>
      <c r="P23" s="190"/>
      <c r="Q23" s="191"/>
      <c r="R23" s="40"/>
      <c r="S23" s="11"/>
      <c r="T23" s="51"/>
      <c r="U23" s="53"/>
      <c r="V23" s="51"/>
      <c r="W23" s="53"/>
      <c r="X23" s="40"/>
      <c r="Y23" s="11"/>
    </row>
    <row r="24" spans="2:25" ht="12.75">
      <c r="B24" s="31"/>
      <c r="C24" s="84">
        <f>$B$10+(D24-$B$11)*($B$12/60/24+TIME(0,5,0))</f>
        <v>0.5138888888888888</v>
      </c>
      <c r="D24" s="145">
        <f>$B$11+1</f>
        <v>6</v>
      </c>
      <c r="E24" s="85">
        <f>$B$9</f>
        <v>12</v>
      </c>
      <c r="F24" s="85">
        <f>$E24+$D24*100</f>
        <v>612</v>
      </c>
      <c r="G24" s="30" t="str">
        <f>G15</f>
        <v>Rainbow Warriors 1</v>
      </c>
      <c r="H24" s="30" t="str">
        <f>G14</f>
        <v>Dutchboys 4</v>
      </c>
      <c r="I24" s="87" t="str">
        <f>G13</f>
        <v>Copenhagen III</v>
      </c>
      <c r="J24" s="92"/>
      <c r="K24" s="93"/>
      <c r="L24" s="92"/>
      <c r="M24" s="93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1 - 2)"))))))</f>
        <v>W612 (no. 1 - 2)</v>
      </c>
      <c r="S24" s="11" t="str">
        <f>IF(P24&gt;Q24,H24,IF(P24&lt;Q24,G24,IF(N24&gt;O24,H24,IF(N24&lt;O24,G24,IF(X24&gt;Y24,H24,IF(X24&lt;Y24,G24,"L"&amp;F24&amp;" (no. 3 - 4)"))))))</f>
        <v>L612 (no. 3 - 4)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2:25" ht="12.75">
      <c r="B25" s="31"/>
      <c r="C25" s="84"/>
      <c r="D25" s="85"/>
      <c r="E25" s="85"/>
      <c r="F25" s="85"/>
      <c r="G25" s="30"/>
      <c r="H25" s="30"/>
      <c r="I25" s="87"/>
      <c r="J25" s="92"/>
      <c r="K25" s="93"/>
      <c r="L25" s="92"/>
      <c r="M25" s="93"/>
      <c r="N25" s="192"/>
      <c r="O25" s="193"/>
      <c r="P25" s="194"/>
      <c r="Q25" s="195"/>
      <c r="R25" s="57"/>
      <c r="S25" s="15"/>
      <c r="T25" s="99"/>
      <c r="U25" s="100"/>
      <c r="V25" s="99"/>
      <c r="W25" s="100"/>
      <c r="X25" s="57"/>
      <c r="Y25" s="15"/>
    </row>
    <row r="26" spans="3:25" ht="12.75">
      <c r="C26" s="71"/>
      <c r="D26" s="25"/>
      <c r="E26" s="25"/>
      <c r="F26" s="25"/>
      <c r="G26" s="5"/>
      <c r="H26" s="5"/>
      <c r="I26" s="6"/>
      <c r="J26" s="71"/>
      <c r="K26" s="72"/>
      <c r="L26" s="71"/>
      <c r="M26" s="72"/>
      <c r="N26" s="196"/>
      <c r="O26" s="197"/>
      <c r="P26" s="196"/>
      <c r="Q26" s="198"/>
      <c r="R26" s="32"/>
      <c r="S26" s="6"/>
      <c r="T26" s="32"/>
      <c r="U26" s="6"/>
      <c r="V26" s="32"/>
      <c r="W26" s="6"/>
      <c r="X26" s="32"/>
      <c r="Y26" s="6"/>
    </row>
    <row r="27" spans="1:25" ht="12.75">
      <c r="A27" s="147"/>
      <c r="B27" s="143"/>
      <c r="C27" s="84">
        <f>$B$10+(D27-$B$11)*($B$12/60/24+TIME(0,5,0))</f>
        <v>0.5416666666666666</v>
      </c>
      <c r="D27" s="85">
        <f>$B$11+2</f>
        <v>7</v>
      </c>
      <c r="E27" s="85">
        <f>$B$9</f>
        <v>12</v>
      </c>
      <c r="F27" s="85">
        <f>$E27+$D27*100</f>
        <v>712</v>
      </c>
      <c r="G27" s="148" t="str">
        <f>S24</f>
        <v>L612 (no. 3 - 4)</v>
      </c>
      <c r="H27" s="148" t="str">
        <f>S22</f>
        <v>L512 (no. 3 - 4)</v>
      </c>
      <c r="I27" s="149" t="str">
        <f>R22</f>
        <v>W512 (no. 1 - 2)</v>
      </c>
      <c r="J27" s="88"/>
      <c r="K27" s="87"/>
      <c r="L27" s="88"/>
      <c r="M27" s="87"/>
      <c r="N27" s="188">
        <f>SUM(J27,L27)</f>
        <v>0</v>
      </c>
      <c r="O27" s="189">
        <f>SUM(K27,M27)</f>
        <v>0</v>
      </c>
      <c r="P27" s="190">
        <f>SUM(T27,V27)</f>
        <v>2</v>
      </c>
      <c r="Q27" s="191">
        <f>SUM(U27,W27)</f>
        <v>2</v>
      </c>
      <c r="R27" s="40" t="str">
        <f>IF(P27&gt;Q27,G27,IF(P27&lt;Q27,H27,IF(N27&gt;O27,G27,IF(N27&lt;O27,H27,IF(X27&gt;Y27,G27,IF(X27&lt;Y27,H27,"W"&amp;F27&amp;" (no. 3)"))))))</f>
        <v>W712 (no. 3)</v>
      </c>
      <c r="S27" s="11" t="str">
        <f>IF(P27&gt;Q27,H27,IF(P27&lt;Q27,G27,IF(N27&gt;O27,H27,IF(N27&lt;O27,G27,IF(X27&gt;Y27,H27,IF(X27&lt;Y27,G27,"L"&amp;F27&amp;" (no. 4)"))))))</f>
        <v>L712 (no. 4)</v>
      </c>
      <c r="T27" s="51">
        <f>IF(J27&gt;K27,2,IF(J27=K27,1,0))</f>
        <v>1</v>
      </c>
      <c r="U27" s="53">
        <f>IF(K27&gt;J27,2,IF(K27=J27,1,0))</f>
        <v>1</v>
      </c>
      <c r="V27" s="51">
        <f>IF(L27&gt;M27,2,IF(L27=M27,1,0))</f>
        <v>1</v>
      </c>
      <c r="W27" s="53">
        <f>IF(M27&gt;L27,2,IF(M27=L27,1,0))</f>
        <v>1</v>
      </c>
      <c r="X27" s="40"/>
      <c r="Y27" s="11"/>
    </row>
    <row r="28" spans="1:25" ht="24.75" customHeight="1">
      <c r="A28" s="147"/>
      <c r="B28" s="143"/>
      <c r="C28" s="84"/>
      <c r="D28" s="85"/>
      <c r="E28" s="159"/>
      <c r="F28" s="159"/>
      <c r="G28" s="237"/>
      <c r="H28" s="237"/>
      <c r="I28" s="238"/>
      <c r="J28" s="88"/>
      <c r="K28" s="87"/>
      <c r="L28" s="88"/>
      <c r="M28" s="87"/>
      <c r="N28" s="188"/>
      <c r="O28" s="189"/>
      <c r="P28" s="190"/>
      <c r="Q28" s="191"/>
      <c r="R28" s="40"/>
      <c r="S28" s="11"/>
      <c r="T28" s="51"/>
      <c r="U28" s="53"/>
      <c r="V28" s="51"/>
      <c r="W28" s="53"/>
      <c r="X28" s="40"/>
      <c r="Y28" s="11"/>
    </row>
    <row r="29" spans="1:25" ht="12.75">
      <c r="A29" s="143"/>
      <c r="B29" s="142"/>
      <c r="C29" s="84"/>
      <c r="D29" s="145"/>
      <c r="E29" s="152"/>
      <c r="F29" s="145"/>
      <c r="G29" s="150"/>
      <c r="H29" s="150"/>
      <c r="I29" s="151"/>
      <c r="J29" s="92"/>
      <c r="K29" s="93"/>
      <c r="L29" s="92"/>
      <c r="M29" s="93"/>
      <c r="N29" s="188"/>
      <c r="O29" s="189"/>
      <c r="P29" s="190"/>
      <c r="Q29" s="191"/>
      <c r="R29" s="40"/>
      <c r="S29" s="11"/>
      <c r="T29" s="51"/>
      <c r="U29" s="53"/>
      <c r="V29" s="51"/>
      <c r="W29" s="53"/>
      <c r="X29" s="40"/>
      <c r="Y29" s="11"/>
    </row>
    <row r="30" spans="1:25" ht="12.75">
      <c r="A30" s="143"/>
      <c r="B30" s="142"/>
      <c r="C30" s="84">
        <f>$B$10+(D30-$B$11)*($B$12/60/24+TIME(0,5,0))</f>
        <v>0.5694444444444444</v>
      </c>
      <c r="D30" s="85">
        <f>$B$11+3</f>
        <v>8</v>
      </c>
      <c r="E30" s="85">
        <f>$B$9</f>
        <v>12</v>
      </c>
      <c r="F30" s="85">
        <f>$E30+$D30*100</f>
        <v>812</v>
      </c>
      <c r="G30" s="144" t="str">
        <f>R22</f>
        <v>W512 (no. 1 - 2)</v>
      </c>
      <c r="H30" s="144" t="str">
        <f>R24</f>
        <v>W612 (no. 1 - 2)</v>
      </c>
      <c r="I30" s="151" t="str">
        <f>S24</f>
        <v>L612 (no. 3 - 4)</v>
      </c>
      <c r="J30" s="92"/>
      <c r="K30" s="93"/>
      <c r="L30" s="92"/>
      <c r="M30" s="93"/>
      <c r="N30" s="188">
        <f>SUM(J30,L30)</f>
        <v>0</v>
      </c>
      <c r="O30" s="189">
        <f>SUM(K30,M30)</f>
        <v>0</v>
      </c>
      <c r="P30" s="190">
        <f>SUM(T30,V30)</f>
        <v>2</v>
      </c>
      <c r="Q30" s="191">
        <f>SUM(U30,W30)</f>
        <v>2</v>
      </c>
      <c r="R30" s="40" t="str">
        <f>IF(P30&gt;Q30,G30,IF(P30&lt;Q30,H30,IF(N30&gt;O30,G30,IF(N30&lt;O30,H30,IF(X30&gt;Y30,G30,IF(X30&lt;Y30,H30,"W"&amp;F30&amp;" (no. 1)"))))))</f>
        <v>W812 (no. 1)</v>
      </c>
      <c r="S30" s="11" t="str">
        <f>IF(P30&gt;Q30,H30,IF(P30&lt;Q30,G30,IF(N30&gt;O30,H30,IF(N30&lt;O30,G30,IF(X30&gt;Y30,H30,IF(X30&lt;Y30,G30,"L"&amp;F30&amp;" (no. 2)"))))))</f>
        <v>L812 (no. 2)</v>
      </c>
      <c r="T30" s="51">
        <f>IF(J30&gt;K30,2,IF(J30=K30,1,0))</f>
        <v>1</v>
      </c>
      <c r="U30" s="53">
        <f>IF(K30&gt;J30,2,IF(K30=J30,1,0))</f>
        <v>1</v>
      </c>
      <c r="V30" s="51">
        <f>IF(L30&gt;M30,2,IF(L30=M30,1,0))</f>
        <v>1</v>
      </c>
      <c r="W30" s="53">
        <f>IF(M30&gt;L30,2,IF(M30=L30,1,0))</f>
        <v>1</v>
      </c>
      <c r="X30" s="40"/>
      <c r="Y30" s="11"/>
    </row>
    <row r="31" spans="1:25" ht="24.75" customHeight="1">
      <c r="A31" s="143"/>
      <c r="B31" s="142"/>
      <c r="C31" s="84"/>
      <c r="D31" s="85"/>
      <c r="E31" s="159"/>
      <c r="F31" s="159"/>
      <c r="G31" s="235"/>
      <c r="H31" s="235"/>
      <c r="I31" s="236"/>
      <c r="J31" s="92"/>
      <c r="K31" s="93"/>
      <c r="L31" s="92"/>
      <c r="M31" s="93"/>
      <c r="N31" s="188"/>
      <c r="O31" s="189"/>
      <c r="P31" s="190"/>
      <c r="Q31" s="191"/>
      <c r="R31" s="40"/>
      <c r="S31" s="11"/>
      <c r="T31" s="51"/>
      <c r="U31" s="53"/>
      <c r="V31" s="51"/>
      <c r="W31" s="53"/>
      <c r="X31" s="40"/>
      <c r="Y31" s="11"/>
    </row>
    <row r="32" spans="3:25" ht="12.75">
      <c r="C32" s="84"/>
      <c r="D32" s="85"/>
      <c r="E32" s="85"/>
      <c r="F32" s="85"/>
      <c r="G32" s="86"/>
      <c r="H32" s="86"/>
      <c r="I32" s="87"/>
      <c r="J32" s="88"/>
      <c r="K32" s="87"/>
      <c r="L32" s="88"/>
      <c r="M32" s="87"/>
      <c r="N32" s="89"/>
      <c r="O32" s="90"/>
      <c r="P32" s="99"/>
      <c r="Q32" s="100"/>
      <c r="R32" s="40"/>
      <c r="S32" s="11"/>
      <c r="T32" s="51"/>
      <c r="U32" s="53"/>
      <c r="V32" s="51"/>
      <c r="W32" s="53"/>
      <c r="X32" s="40"/>
      <c r="Y32" s="11"/>
    </row>
    <row r="33" spans="3:25" ht="12.75" customHeight="1">
      <c r="C33" s="84">
        <f>$B$10+(D33-$B$11)*($B$12/60/24+TIME(0,5,0))</f>
        <v>0.5972222222222222</v>
      </c>
      <c r="D33" s="201">
        <f>$B$11+4</f>
        <v>9</v>
      </c>
      <c r="E33" s="102" t="s">
        <v>51</v>
      </c>
      <c r="F33" s="258" t="s">
        <v>98</v>
      </c>
      <c r="G33" s="258"/>
      <c r="H33" s="258"/>
      <c r="I33" s="259"/>
      <c r="J33" s="88"/>
      <c r="K33" s="87"/>
      <c r="L33" s="88"/>
      <c r="M33" s="87"/>
      <c r="N33" s="89"/>
      <c r="O33" s="90"/>
      <c r="P33" s="99"/>
      <c r="Q33" s="100"/>
      <c r="R33" s="40"/>
      <c r="S33" s="11"/>
      <c r="T33" s="51"/>
      <c r="U33" s="53"/>
      <c r="V33" s="51"/>
      <c r="W33" s="53"/>
      <c r="X33" s="40"/>
      <c r="Y33" s="11"/>
    </row>
    <row r="34" spans="3:25" ht="12.75" customHeight="1">
      <c r="C34" s="84"/>
      <c r="D34" s="85"/>
      <c r="E34" s="102"/>
      <c r="F34" s="258" t="s">
        <v>97</v>
      </c>
      <c r="G34" s="258"/>
      <c r="H34" s="258"/>
      <c r="I34" s="259"/>
      <c r="J34" s="88"/>
      <c r="K34" s="87"/>
      <c r="L34" s="88"/>
      <c r="M34" s="87"/>
      <c r="N34" s="89"/>
      <c r="O34" s="90"/>
      <c r="P34" s="99"/>
      <c r="Q34" s="100"/>
      <c r="R34" s="40"/>
      <c r="S34" s="11"/>
      <c r="T34" s="51"/>
      <c r="U34" s="53"/>
      <c r="V34" s="51"/>
      <c r="W34" s="53"/>
      <c r="X34" s="40"/>
      <c r="Y34" s="11"/>
    </row>
    <row r="35" spans="2:25" ht="12.75">
      <c r="B35" s="31"/>
      <c r="C35" s="158"/>
      <c r="D35" s="159"/>
      <c r="E35" s="159"/>
      <c r="F35" s="159"/>
      <c r="G35" s="160"/>
      <c r="H35" s="160"/>
      <c r="I35" s="161"/>
      <c r="J35" s="162"/>
      <c r="K35" s="163"/>
      <c r="L35" s="162"/>
      <c r="M35" s="163"/>
      <c r="N35" s="164"/>
      <c r="O35" s="165"/>
      <c r="P35" s="166"/>
      <c r="Q35" s="167"/>
      <c r="R35" s="57"/>
      <c r="S35" s="15"/>
      <c r="T35" s="166"/>
      <c r="U35" s="167"/>
      <c r="V35" s="166"/>
      <c r="W35" s="167"/>
      <c r="X35" s="57"/>
      <c r="Y35" s="15"/>
    </row>
    <row r="36" spans="2:17" ht="12.75">
      <c r="B36" s="31"/>
      <c r="C36" s="105"/>
      <c r="D36" s="8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ht="12.75">
      <c r="B37" s="31"/>
    </row>
    <row r="38" spans="2:9" ht="12.75" customHeight="1">
      <c r="B38" s="31"/>
      <c r="C38" s="252" t="str">
        <f>$B$4&amp;" "&amp;$B$5</f>
        <v>Men C</v>
      </c>
      <c r="D38" s="253"/>
      <c r="E38" s="254"/>
      <c r="F38" s="32"/>
      <c r="G38" s="5"/>
      <c r="H38" s="5"/>
      <c r="I38" s="6"/>
    </row>
    <row r="39" spans="2:9" ht="12.75" customHeight="1">
      <c r="B39" s="31" t="s">
        <v>87</v>
      </c>
      <c r="C39" s="255"/>
      <c r="D39" s="256"/>
      <c r="E39" s="257"/>
      <c r="F39" s="97" t="s">
        <v>32</v>
      </c>
      <c r="G39" s="10" t="str">
        <f>$G$12</f>
        <v>Team</v>
      </c>
      <c r="H39" s="10" t="str">
        <f>$H$12</f>
        <v>City</v>
      </c>
      <c r="I39" s="11" t="str">
        <f>$I$12</f>
        <v>Country</v>
      </c>
    </row>
    <row r="40" spans="2:9" ht="12.75">
      <c r="B40" s="146">
        <v>13</v>
      </c>
      <c r="C40" s="32"/>
      <c r="D40" s="25"/>
      <c r="E40" s="136">
        <f>$B$40</f>
        <v>13</v>
      </c>
      <c r="F40" s="71" t="str">
        <f>$B$6&amp;E40-$B$40+1</f>
        <v>CC1</v>
      </c>
      <c r="G40" s="5" t="str">
        <f>R30</f>
        <v>W812 (no. 1)</v>
      </c>
      <c r="H40" s="5" t="e">
        <f>VLOOKUP(G40,$G$13:$I$16,2,FALSE)</f>
        <v>#N/A</v>
      </c>
      <c r="I40" s="6" t="e">
        <f>VLOOKUP(G40,$G$13:$I$16,3,FALSE)</f>
        <v>#N/A</v>
      </c>
    </row>
    <row r="41" spans="2:9" ht="12.75">
      <c r="B41" s="31"/>
      <c r="C41" s="40"/>
      <c r="D41" s="41"/>
      <c r="E41" s="137">
        <f>E40+1</f>
        <v>14</v>
      </c>
      <c r="F41" s="97" t="str">
        <f>$B$6&amp;E41-$B$40+1</f>
        <v>CC2</v>
      </c>
      <c r="G41" s="10" t="str">
        <f>S30</f>
        <v>L812 (no. 2)</v>
      </c>
      <c r="H41" s="10" t="e">
        <f>VLOOKUP(G41,$G$13:$I$16,2,FALSE)</f>
        <v>#N/A</v>
      </c>
      <c r="I41" s="11" t="e">
        <f>VLOOKUP(G41,$G$13:$I$16,3,FALSE)</f>
        <v>#N/A</v>
      </c>
    </row>
    <row r="42" spans="2:9" ht="12.75">
      <c r="B42" s="31"/>
      <c r="C42" s="40"/>
      <c r="D42" s="41"/>
      <c r="E42" s="137">
        <f>E41+1</f>
        <v>15</v>
      </c>
      <c r="F42" s="97" t="str">
        <f>$B$6&amp;E42-$B$40+1</f>
        <v>CC3</v>
      </c>
      <c r="G42" s="10" t="str">
        <f>R27</f>
        <v>W712 (no. 3)</v>
      </c>
      <c r="H42" s="10" t="e">
        <f>VLOOKUP(G42,$G$13:$I$16,2,FALSE)</f>
        <v>#N/A</v>
      </c>
      <c r="I42" s="11" t="e">
        <f>VLOOKUP(G42,$G$13:$I$16,3,FALSE)</f>
        <v>#N/A</v>
      </c>
    </row>
    <row r="43" spans="2:9" ht="12.75">
      <c r="B43" s="31"/>
      <c r="C43" s="57"/>
      <c r="D43" s="27"/>
      <c r="E43" s="138">
        <f>E42+1</f>
        <v>16</v>
      </c>
      <c r="F43" s="73" t="str">
        <f>$B$6&amp;E43-$B$40+1</f>
        <v>CC4</v>
      </c>
      <c r="G43" s="14" t="str">
        <f>S27</f>
        <v>L712 (no. 4)</v>
      </c>
      <c r="H43" s="14" t="e">
        <f>VLOOKUP(G43,$G$13:$I$16,2,FALSE)</f>
        <v>#N/A</v>
      </c>
      <c r="I43" s="15" t="e">
        <f>VLOOKUP(G43,$G$13:$I$16,3,FALSE)</f>
        <v>#N/A</v>
      </c>
    </row>
    <row r="44" ht="12.75">
      <c r="B44" s="31"/>
    </row>
  </sheetData>
  <mergeCells count="13">
    <mergeCell ref="X19:Y19"/>
    <mergeCell ref="N19:O19"/>
    <mergeCell ref="P19:Q19"/>
    <mergeCell ref="C38:E39"/>
    <mergeCell ref="J19:K19"/>
    <mergeCell ref="L19:M19"/>
    <mergeCell ref="F33:I33"/>
    <mergeCell ref="F34:I34"/>
    <mergeCell ref="C4:F6"/>
    <mergeCell ref="C7:F8"/>
    <mergeCell ref="T19:U19"/>
    <mergeCell ref="V19:W19"/>
    <mergeCell ref="C11:F12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36" min="2" max="18" man="1"/>
  </rowBreaks>
  <colBreaks count="1" manualBreakCount="1">
    <brk id="17" min="3" max="4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M44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C</v>
      </c>
      <c r="D4" s="261"/>
      <c r="E4" s="261"/>
      <c r="F4" s="262"/>
      <c r="G4" s="5"/>
      <c r="H4" s="17" t="str">
        <f>$A$8&amp;":"</f>
        <v>Venue:</v>
      </c>
      <c r="I4" s="6" t="str">
        <f>$B$8</f>
        <v>OSG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73</v>
      </c>
      <c r="C5" s="263"/>
      <c r="D5" s="264"/>
      <c r="E5" s="264"/>
      <c r="F5" s="265"/>
      <c r="G5" s="10"/>
      <c r="H5" s="19" t="str">
        <f>$A$9&amp;":"</f>
        <v>Court:</v>
      </c>
      <c r="I5" s="20">
        <f>$B$9</f>
        <v>13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100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0.4861111111111111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tr">
        <f>$B$40&amp;" - "&amp;$B$40+3&amp;" ranking"</f>
        <v>17 - 20 ranking</v>
      </c>
      <c r="D7" s="267"/>
      <c r="E7" s="267"/>
      <c r="F7" s="268"/>
      <c r="G7" s="140"/>
      <c r="H7" s="25" t="str">
        <f>"Each match consists of 2 sets of at most "&amp;$B$13&amp;" points."</f>
        <v>Each match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74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13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0.4861111111111111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5</v>
      </c>
      <c r="C11" s="272" t="str">
        <f>$A$6&amp;" "&amp;$B$6</f>
        <v>Group CD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222</v>
      </c>
      <c r="H13" s="5" t="s">
        <v>223</v>
      </c>
      <c r="I13" s="6" t="s">
        <v>123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90</v>
      </c>
      <c r="H14" s="10"/>
      <c r="I14" s="11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224</v>
      </c>
      <c r="H15" s="10" t="s">
        <v>187</v>
      </c>
      <c r="I15" s="11" t="s">
        <v>188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2.75">
      <c r="B16" s="3"/>
      <c r="C16" s="57"/>
      <c r="D16" s="14"/>
      <c r="E16" s="14"/>
      <c r="F16" s="39"/>
      <c r="G16" s="57" t="s">
        <v>225</v>
      </c>
      <c r="H16" s="14" t="s">
        <v>125</v>
      </c>
      <c r="I16" s="15" t="s">
        <v>120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3:39" s="65" customFormat="1" ht="12.75">
      <c r="C17" s="19"/>
      <c r="D17" s="66"/>
      <c r="E17" s="66"/>
      <c r="F17" s="67"/>
      <c r="G17" s="68"/>
      <c r="H17" s="66"/>
      <c r="I17" s="66"/>
      <c r="J17" s="69"/>
      <c r="K17" s="69"/>
      <c r="L17" s="69"/>
      <c r="M17" s="69"/>
      <c r="N17" s="69"/>
      <c r="O17" s="69"/>
      <c r="P17" s="69"/>
      <c r="Q17" s="19"/>
      <c r="AA17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3:39" s="65" customFormat="1" ht="12.75">
      <c r="C18" s="19"/>
      <c r="D18" s="66"/>
      <c r="E18" s="66"/>
      <c r="F18" s="67"/>
      <c r="G18" s="68"/>
      <c r="H18" s="66"/>
      <c r="I18" s="66"/>
      <c r="J18" s="69"/>
      <c r="K18" s="69"/>
      <c r="L18" s="69"/>
      <c r="M18" s="69"/>
      <c r="N18" s="69"/>
      <c r="O18" s="69"/>
      <c r="P18" s="69"/>
      <c r="Q18" s="1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3:35" ht="12.75">
      <c r="C19" s="32"/>
      <c r="D19" s="5"/>
      <c r="E19" s="5"/>
      <c r="F19" s="5"/>
      <c r="G19" s="5"/>
      <c r="H19" s="5"/>
      <c r="I19" s="6"/>
      <c r="J19" s="249" t="s">
        <v>39</v>
      </c>
      <c r="K19" s="250"/>
      <c r="L19" s="249" t="s">
        <v>40</v>
      </c>
      <c r="M19" s="250"/>
      <c r="N19" s="249" t="s">
        <v>78</v>
      </c>
      <c r="O19" s="250"/>
      <c r="P19" s="249" t="s">
        <v>31</v>
      </c>
      <c r="Q19" s="250"/>
      <c r="R19" s="32"/>
      <c r="S19" s="6"/>
      <c r="T19" s="249" t="s">
        <v>39</v>
      </c>
      <c r="U19" s="250"/>
      <c r="V19" s="249" t="s">
        <v>40</v>
      </c>
      <c r="W19" s="250"/>
      <c r="X19" s="249" t="s">
        <v>24</v>
      </c>
      <c r="Y19" s="250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3:25" ht="12.75">
      <c r="C20" s="73" t="s">
        <v>18</v>
      </c>
      <c r="D20" s="74" t="s">
        <v>43</v>
      </c>
      <c r="E20" s="74" t="s">
        <v>17</v>
      </c>
      <c r="F20" s="75" t="s">
        <v>44</v>
      </c>
      <c r="G20" s="76" t="s">
        <v>45</v>
      </c>
      <c r="H20" s="77" t="s">
        <v>46</v>
      </c>
      <c r="I20" s="78" t="s">
        <v>47</v>
      </c>
      <c r="J20" s="79" t="s">
        <v>48</v>
      </c>
      <c r="K20" s="80" t="s">
        <v>49</v>
      </c>
      <c r="L20" s="79" t="s">
        <v>48</v>
      </c>
      <c r="M20" s="80" t="s">
        <v>49</v>
      </c>
      <c r="N20" s="79" t="s">
        <v>48</v>
      </c>
      <c r="O20" s="80" t="s">
        <v>49</v>
      </c>
      <c r="P20" s="81" t="s">
        <v>48</v>
      </c>
      <c r="Q20" s="82" t="s">
        <v>49</v>
      </c>
      <c r="R20" s="57" t="s">
        <v>79</v>
      </c>
      <c r="S20" s="15" t="s">
        <v>80</v>
      </c>
      <c r="T20" s="79" t="s">
        <v>48</v>
      </c>
      <c r="U20" s="80" t="s">
        <v>49</v>
      </c>
      <c r="V20" s="79" t="s">
        <v>48</v>
      </c>
      <c r="W20" s="80" t="s">
        <v>49</v>
      </c>
      <c r="X20" s="79" t="s">
        <v>48</v>
      </c>
      <c r="Y20" s="80" t="s">
        <v>49</v>
      </c>
    </row>
    <row r="21" spans="3:25" ht="12.75">
      <c r="C21" s="71"/>
      <c r="D21" s="25"/>
      <c r="E21" s="25"/>
      <c r="F21" s="25"/>
      <c r="G21" s="5"/>
      <c r="H21" s="5"/>
      <c r="I21" s="6"/>
      <c r="J21" s="71"/>
      <c r="K21" s="72"/>
      <c r="L21" s="71"/>
      <c r="M21" s="72"/>
      <c r="N21" s="83"/>
      <c r="O21" s="17"/>
      <c r="P21" s="71"/>
      <c r="Q21" s="72"/>
      <c r="R21" s="32"/>
      <c r="S21" s="6"/>
      <c r="T21" s="32"/>
      <c r="U21" s="6"/>
      <c r="V21" s="32"/>
      <c r="W21" s="6"/>
      <c r="X21" s="40"/>
      <c r="Y21" s="11"/>
    </row>
    <row r="22" spans="3:25" ht="12.75">
      <c r="C22" s="84">
        <f>$B$10+(D22-$B$11)*($B$12/60/24+TIME(0,5,0))</f>
        <v>0.4861111111111111</v>
      </c>
      <c r="D22" s="85">
        <f>$B$11</f>
        <v>5</v>
      </c>
      <c r="E22" s="85">
        <f>$B$9</f>
        <v>13</v>
      </c>
      <c r="F22" s="85">
        <f>$E22+$D22*100</f>
        <v>513</v>
      </c>
      <c r="G22" s="86" t="str">
        <f>G13</f>
        <v>6 in the city</v>
      </c>
      <c r="H22" s="86" t="str">
        <f>G16</f>
        <v>ZLG New Stars</v>
      </c>
      <c r="I22" s="87" t="str">
        <f>G15</f>
        <v>Stockholm City</v>
      </c>
      <c r="J22" s="88"/>
      <c r="K22" s="87"/>
      <c r="L22" s="88"/>
      <c r="M22" s="87"/>
      <c r="N22" s="188">
        <f>SUM(J22,L22)</f>
        <v>0</v>
      </c>
      <c r="O22" s="189">
        <f>SUM(K22,M22)</f>
        <v>0</v>
      </c>
      <c r="P22" s="190">
        <f>SUM(T22,V22)</f>
        <v>2</v>
      </c>
      <c r="Q22" s="191">
        <f>SUM(U22,W22)</f>
        <v>2</v>
      </c>
      <c r="R22" s="40" t="str">
        <f>IF(P22&gt;Q22,G22,IF(P22&lt;Q22,H22,IF(N22&gt;O22,G22,IF(N22&lt;O22,H22,IF(X22&gt;Y22,G22,IF(X22&lt;Y22,H22,"W"&amp;F22&amp;" (no. 1 - 2)"))))))</f>
        <v>W513 (no. 1 - 2)</v>
      </c>
      <c r="S22" s="11" t="str">
        <f>IF(P22&gt;Q22,H22,IF(P22&lt;Q22,G22,IF(N22&gt;O22,H22,IF(N22&lt;O22,G22,IF(X22&gt;Y22,H22,IF(X22&lt;Y22,G22,"L"&amp;F22&amp;" (no. 3 - 4)"))))))</f>
        <v>L513 (no. 3 - 4)</v>
      </c>
      <c r="T22" s="51">
        <f>IF(J22&gt;K22,2,IF(J22=K22,1,0))</f>
        <v>1</v>
      </c>
      <c r="U22" s="53">
        <f>IF(K22&gt;J22,2,IF(K22=J22,1,0))</f>
        <v>1</v>
      </c>
      <c r="V22" s="51">
        <f>IF(L22&gt;M22,2,IF(L22=M22,1,0))</f>
        <v>1</v>
      </c>
      <c r="W22" s="53">
        <f>IF(M22&gt;L22,2,IF(M22=L22,1,0))</f>
        <v>1</v>
      </c>
      <c r="X22" s="40"/>
      <c r="Y22" s="11"/>
    </row>
    <row r="23" spans="2:25" ht="12.75">
      <c r="B23" s="31"/>
      <c r="C23" s="84"/>
      <c r="D23" s="85"/>
      <c r="E23" s="85"/>
      <c r="F23" s="85"/>
      <c r="G23" s="30"/>
      <c r="H23" s="30"/>
      <c r="I23" s="87"/>
      <c r="J23" s="92"/>
      <c r="K23" s="93"/>
      <c r="L23" s="92"/>
      <c r="M23" s="93"/>
      <c r="N23" s="188"/>
      <c r="O23" s="189"/>
      <c r="P23" s="190"/>
      <c r="Q23" s="191"/>
      <c r="R23" s="40"/>
      <c r="S23" s="11"/>
      <c r="T23" s="51"/>
      <c r="U23" s="53"/>
      <c r="V23" s="51"/>
      <c r="W23" s="53"/>
      <c r="X23" s="40"/>
      <c r="Y23" s="11"/>
    </row>
    <row r="24" spans="2:25" ht="12.75">
      <c r="B24" s="31"/>
      <c r="C24" s="84">
        <f>$B$10+(D24-$B$11)*($B$12/60/24+TIME(0,5,0))</f>
        <v>0.5138888888888888</v>
      </c>
      <c r="D24" s="145">
        <f>$B$11+1</f>
        <v>6</v>
      </c>
      <c r="E24" s="85">
        <f>$B$9</f>
        <v>13</v>
      </c>
      <c r="F24" s="85">
        <f>$E24+$D24*100</f>
        <v>613</v>
      </c>
      <c r="G24" s="30" t="str">
        <f>G15</f>
        <v>Stockholm City</v>
      </c>
      <c r="H24" s="30" t="str">
        <f>G14</f>
        <v>R5</v>
      </c>
      <c r="I24" s="87" t="str">
        <f>G13</f>
        <v>6 in the city</v>
      </c>
      <c r="J24" s="92"/>
      <c r="K24" s="93"/>
      <c r="L24" s="92"/>
      <c r="M24" s="93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1 - 2)"))))))</f>
        <v>W613 (no. 1 - 2)</v>
      </c>
      <c r="S24" s="11" t="str">
        <f>IF(P24&gt;Q24,H24,IF(P24&lt;Q24,G24,IF(N24&gt;O24,H24,IF(N24&lt;O24,G24,IF(X24&gt;Y24,H24,IF(X24&lt;Y24,G24,"L"&amp;F24&amp;" (no. 3 - 4)"))))))</f>
        <v>L613 (no. 3 - 4)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2:25" ht="12.75">
      <c r="B25" s="31"/>
      <c r="C25" s="84"/>
      <c r="D25" s="85"/>
      <c r="E25" s="85"/>
      <c r="F25" s="85"/>
      <c r="G25" s="30"/>
      <c r="H25" s="30"/>
      <c r="I25" s="87"/>
      <c r="J25" s="92"/>
      <c r="K25" s="93"/>
      <c r="L25" s="92"/>
      <c r="M25" s="93"/>
      <c r="N25" s="192"/>
      <c r="O25" s="193"/>
      <c r="P25" s="194"/>
      <c r="Q25" s="195"/>
      <c r="R25" s="57"/>
      <c r="S25" s="15"/>
      <c r="T25" s="99"/>
      <c r="U25" s="100"/>
      <c r="V25" s="99"/>
      <c r="W25" s="100"/>
      <c r="X25" s="57"/>
      <c r="Y25" s="15"/>
    </row>
    <row r="26" spans="3:25" ht="12.75">
      <c r="C26" s="71"/>
      <c r="D26" s="25"/>
      <c r="E26" s="25"/>
      <c r="F26" s="25"/>
      <c r="G26" s="5"/>
      <c r="H26" s="5"/>
      <c r="I26" s="6"/>
      <c r="J26" s="71"/>
      <c r="K26" s="72"/>
      <c r="L26" s="71"/>
      <c r="M26" s="72"/>
      <c r="N26" s="196"/>
      <c r="O26" s="197"/>
      <c r="P26" s="196"/>
      <c r="Q26" s="198"/>
      <c r="R26" s="32"/>
      <c r="S26" s="6"/>
      <c r="T26" s="32"/>
      <c r="U26" s="6"/>
      <c r="V26" s="32"/>
      <c r="W26" s="6"/>
      <c r="X26" s="32"/>
      <c r="Y26" s="6"/>
    </row>
    <row r="27" spans="1:25" ht="12.75">
      <c r="A27" s="147"/>
      <c r="B27" s="143"/>
      <c r="C27" s="84">
        <f>$B$10+(D27-$B$11)*($B$12/60/24+TIME(0,5,0))</f>
        <v>0.5416666666666666</v>
      </c>
      <c r="D27" s="85">
        <f>$B$11+2</f>
        <v>7</v>
      </c>
      <c r="E27" s="85">
        <f>$B$9</f>
        <v>13</v>
      </c>
      <c r="F27" s="85">
        <f>$E27+$D27*100</f>
        <v>713</v>
      </c>
      <c r="G27" s="148" t="str">
        <f>S24</f>
        <v>L613 (no. 3 - 4)</v>
      </c>
      <c r="H27" s="148" t="str">
        <f>S22</f>
        <v>L513 (no. 3 - 4)</v>
      </c>
      <c r="I27" s="149" t="str">
        <f>R22</f>
        <v>W513 (no. 1 - 2)</v>
      </c>
      <c r="J27" s="88"/>
      <c r="K27" s="87"/>
      <c r="L27" s="88"/>
      <c r="M27" s="87"/>
      <c r="N27" s="188">
        <f>SUM(J27,L27)</f>
        <v>0</v>
      </c>
      <c r="O27" s="189">
        <f>SUM(K27,M27)</f>
        <v>0</v>
      </c>
      <c r="P27" s="190">
        <f>SUM(T27,V27)</f>
        <v>2</v>
      </c>
      <c r="Q27" s="191">
        <f>SUM(U27,W27)</f>
        <v>2</v>
      </c>
      <c r="R27" s="40" t="str">
        <f>IF(P27&gt;Q27,G27,IF(P27&lt;Q27,H27,IF(N27&gt;O27,G27,IF(N27&lt;O27,H27,IF(X27&gt;Y27,G27,IF(X27&lt;Y27,H27,"W"&amp;F27&amp;" (no. 3)"))))))</f>
        <v>W713 (no. 3)</v>
      </c>
      <c r="S27" s="11" t="str">
        <f>IF(P27&gt;Q27,H27,IF(P27&lt;Q27,G27,IF(N27&gt;O27,H27,IF(N27&lt;O27,G27,IF(X27&gt;Y27,H27,IF(X27&lt;Y27,G27,"L"&amp;F27&amp;" (no. 4)"))))))</f>
        <v>L713 (no. 4)</v>
      </c>
      <c r="T27" s="51">
        <f>IF(J27&gt;K27,2,IF(J27=K27,1,0))</f>
        <v>1</v>
      </c>
      <c r="U27" s="53">
        <f>IF(K27&gt;J27,2,IF(K27=J27,1,0))</f>
        <v>1</v>
      </c>
      <c r="V27" s="51">
        <f>IF(L27&gt;M27,2,IF(L27=M27,1,0))</f>
        <v>1</v>
      </c>
      <c r="W27" s="53">
        <f>IF(M27&gt;L27,2,IF(M27=L27,1,0))</f>
        <v>1</v>
      </c>
      <c r="X27" s="40"/>
      <c r="Y27" s="11"/>
    </row>
    <row r="28" spans="1:25" ht="24.75" customHeight="1">
      <c r="A28" s="147"/>
      <c r="B28" s="143"/>
      <c r="C28" s="84"/>
      <c r="D28" s="85"/>
      <c r="E28" s="159"/>
      <c r="F28" s="159"/>
      <c r="G28" s="237"/>
      <c r="H28" s="237"/>
      <c r="I28" s="238"/>
      <c r="J28" s="88"/>
      <c r="K28" s="87"/>
      <c r="L28" s="88"/>
      <c r="M28" s="87"/>
      <c r="N28" s="188"/>
      <c r="O28" s="189"/>
      <c r="P28" s="190"/>
      <c r="Q28" s="191"/>
      <c r="R28" s="40"/>
      <c r="S28" s="11"/>
      <c r="T28" s="51"/>
      <c r="U28" s="53"/>
      <c r="V28" s="51"/>
      <c r="W28" s="53"/>
      <c r="X28" s="40"/>
      <c r="Y28" s="11"/>
    </row>
    <row r="29" spans="1:25" ht="12.75">
      <c r="A29" s="143"/>
      <c r="B29" s="142"/>
      <c r="C29" s="84"/>
      <c r="D29" s="145"/>
      <c r="E29" s="152"/>
      <c r="F29" s="145"/>
      <c r="G29" s="150"/>
      <c r="H29" s="150"/>
      <c r="I29" s="151"/>
      <c r="J29" s="92"/>
      <c r="K29" s="93"/>
      <c r="L29" s="92"/>
      <c r="M29" s="93"/>
      <c r="N29" s="188"/>
      <c r="O29" s="189"/>
      <c r="P29" s="190"/>
      <c r="Q29" s="191"/>
      <c r="R29" s="40"/>
      <c r="S29" s="11"/>
      <c r="T29" s="51"/>
      <c r="U29" s="53"/>
      <c r="V29" s="51"/>
      <c r="W29" s="53"/>
      <c r="X29" s="40"/>
      <c r="Y29" s="11"/>
    </row>
    <row r="30" spans="1:25" ht="12.75">
      <c r="A30" s="143"/>
      <c r="B30" s="142"/>
      <c r="C30" s="84">
        <f>$B$10+(D30-$B$11)*($B$12/60/24+TIME(0,5,0))</f>
        <v>0.5694444444444444</v>
      </c>
      <c r="D30" s="85">
        <f>$B$11+3</f>
        <v>8</v>
      </c>
      <c r="E30" s="85">
        <f>$B$9</f>
        <v>13</v>
      </c>
      <c r="F30" s="85">
        <f>$E30+$D30*100</f>
        <v>813</v>
      </c>
      <c r="G30" s="144" t="str">
        <f>R22</f>
        <v>W513 (no. 1 - 2)</v>
      </c>
      <c r="H30" s="144" t="str">
        <f>R24</f>
        <v>W613 (no. 1 - 2)</v>
      </c>
      <c r="I30" s="151" t="str">
        <f>S24</f>
        <v>L613 (no. 3 - 4)</v>
      </c>
      <c r="J30" s="92"/>
      <c r="K30" s="93"/>
      <c r="L30" s="92"/>
      <c r="M30" s="93"/>
      <c r="N30" s="188">
        <f>SUM(J30,L30)</f>
        <v>0</v>
      </c>
      <c r="O30" s="189">
        <f>SUM(K30,M30)</f>
        <v>0</v>
      </c>
      <c r="P30" s="190">
        <f>SUM(T30,V30)</f>
        <v>2</v>
      </c>
      <c r="Q30" s="191">
        <f>SUM(U30,W30)</f>
        <v>2</v>
      </c>
      <c r="R30" s="40" t="str">
        <f>IF(P30&gt;Q30,G30,IF(P30&lt;Q30,H30,IF(N30&gt;O30,G30,IF(N30&lt;O30,H30,IF(X30&gt;Y30,G30,IF(X30&lt;Y30,H30,"W"&amp;F30&amp;" (no. 1)"))))))</f>
        <v>W813 (no. 1)</v>
      </c>
      <c r="S30" s="11" t="str">
        <f>IF(P30&gt;Q30,H30,IF(P30&lt;Q30,G30,IF(N30&gt;O30,H30,IF(N30&lt;O30,G30,IF(X30&gt;Y30,H30,IF(X30&lt;Y30,G30,"L"&amp;F30&amp;" (no. 2)"))))))</f>
        <v>L813 (no. 2)</v>
      </c>
      <c r="T30" s="51">
        <f>IF(J30&gt;K30,2,IF(J30=K30,1,0))</f>
        <v>1</v>
      </c>
      <c r="U30" s="53">
        <f>IF(K30&gt;J30,2,IF(K30=J30,1,0))</f>
        <v>1</v>
      </c>
      <c r="V30" s="51">
        <f>IF(L30&gt;M30,2,IF(L30=M30,1,0))</f>
        <v>1</v>
      </c>
      <c r="W30" s="53">
        <f>IF(M30&gt;L30,2,IF(M30=L30,1,0))</f>
        <v>1</v>
      </c>
      <c r="X30" s="40"/>
      <c r="Y30" s="11"/>
    </row>
    <row r="31" spans="1:25" ht="24.75" customHeight="1">
      <c r="A31" s="143"/>
      <c r="B31" s="142"/>
      <c r="C31" s="84"/>
      <c r="D31" s="85"/>
      <c r="E31" s="159"/>
      <c r="F31" s="159"/>
      <c r="G31" s="235"/>
      <c r="H31" s="235"/>
      <c r="I31" s="236"/>
      <c r="J31" s="92"/>
      <c r="K31" s="93"/>
      <c r="L31" s="92"/>
      <c r="M31" s="93"/>
      <c r="N31" s="188"/>
      <c r="O31" s="189"/>
      <c r="P31" s="190"/>
      <c r="Q31" s="191"/>
      <c r="R31" s="40"/>
      <c r="S31" s="11"/>
      <c r="T31" s="51"/>
      <c r="U31" s="53"/>
      <c r="V31" s="51"/>
      <c r="W31" s="53"/>
      <c r="X31" s="40"/>
      <c r="Y31" s="11"/>
    </row>
    <row r="32" spans="3:25" ht="12.75">
      <c r="C32" s="84"/>
      <c r="D32" s="85"/>
      <c r="E32" s="85"/>
      <c r="F32" s="85"/>
      <c r="G32" s="86"/>
      <c r="H32" s="86"/>
      <c r="I32" s="87"/>
      <c r="J32" s="88"/>
      <c r="K32" s="87"/>
      <c r="L32" s="88"/>
      <c r="M32" s="87"/>
      <c r="N32" s="89"/>
      <c r="O32" s="90"/>
      <c r="P32" s="99"/>
      <c r="Q32" s="100"/>
      <c r="R32" s="40"/>
      <c r="S32" s="11"/>
      <c r="T32" s="51"/>
      <c r="U32" s="53"/>
      <c r="V32" s="51"/>
      <c r="W32" s="53"/>
      <c r="X32" s="40"/>
      <c r="Y32" s="11"/>
    </row>
    <row r="33" spans="3:25" ht="12.75" customHeight="1">
      <c r="C33" s="84">
        <f>$B$10+(D33-$B$11)*($B$12/60/24+TIME(0,5,0))</f>
        <v>0.5972222222222222</v>
      </c>
      <c r="D33" s="201">
        <f>$B$11+4</f>
        <v>9</v>
      </c>
      <c r="E33" s="102" t="s">
        <v>51</v>
      </c>
      <c r="F33" s="258" t="s">
        <v>98</v>
      </c>
      <c r="G33" s="258"/>
      <c r="H33" s="258"/>
      <c r="I33" s="259"/>
      <c r="J33" s="88"/>
      <c r="K33" s="87"/>
      <c r="L33" s="88"/>
      <c r="M33" s="87"/>
      <c r="N33" s="89"/>
      <c r="O33" s="90"/>
      <c r="P33" s="99"/>
      <c r="Q33" s="100"/>
      <c r="R33" s="40"/>
      <c r="S33" s="11"/>
      <c r="T33" s="51"/>
      <c r="U33" s="53"/>
      <c r="V33" s="51"/>
      <c r="W33" s="53"/>
      <c r="X33" s="40"/>
      <c r="Y33" s="11"/>
    </row>
    <row r="34" spans="3:25" ht="12.75" customHeight="1">
      <c r="C34" s="84"/>
      <c r="D34" s="85"/>
      <c r="E34" s="102"/>
      <c r="F34" s="258" t="s">
        <v>97</v>
      </c>
      <c r="G34" s="258"/>
      <c r="H34" s="258"/>
      <c r="I34" s="259"/>
      <c r="J34" s="88"/>
      <c r="K34" s="87"/>
      <c r="L34" s="88"/>
      <c r="M34" s="87"/>
      <c r="N34" s="89"/>
      <c r="O34" s="90"/>
      <c r="P34" s="99"/>
      <c r="Q34" s="100"/>
      <c r="R34" s="40"/>
      <c r="S34" s="11"/>
      <c r="T34" s="51"/>
      <c r="U34" s="53"/>
      <c r="V34" s="51"/>
      <c r="W34" s="53"/>
      <c r="X34" s="40"/>
      <c r="Y34" s="11"/>
    </row>
    <row r="35" spans="2:25" ht="12.75">
      <c r="B35" s="31"/>
      <c r="C35" s="158"/>
      <c r="D35" s="159"/>
      <c r="E35" s="159"/>
      <c r="F35" s="159"/>
      <c r="G35" s="160"/>
      <c r="H35" s="160"/>
      <c r="I35" s="161"/>
      <c r="J35" s="162"/>
      <c r="K35" s="163"/>
      <c r="L35" s="162"/>
      <c r="M35" s="163"/>
      <c r="N35" s="164"/>
      <c r="O35" s="165"/>
      <c r="P35" s="166"/>
      <c r="Q35" s="167"/>
      <c r="R35" s="57"/>
      <c r="S35" s="15"/>
      <c r="T35" s="166"/>
      <c r="U35" s="167"/>
      <c r="V35" s="166"/>
      <c r="W35" s="167"/>
      <c r="X35" s="57"/>
      <c r="Y35" s="15"/>
    </row>
    <row r="36" spans="2:17" ht="12.75">
      <c r="B36" s="31"/>
      <c r="C36" s="105"/>
      <c r="D36" s="8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ht="12.75">
      <c r="B37" s="31"/>
    </row>
    <row r="38" spans="2:9" ht="12.75" customHeight="1">
      <c r="B38" s="31"/>
      <c r="C38" s="252" t="str">
        <f>$B$4&amp;" "&amp;$B$5</f>
        <v>Men C</v>
      </c>
      <c r="D38" s="253"/>
      <c r="E38" s="254"/>
      <c r="F38" s="32"/>
      <c r="G38" s="5"/>
      <c r="H38" s="5"/>
      <c r="I38" s="6"/>
    </row>
    <row r="39" spans="2:9" ht="12.75" customHeight="1">
      <c r="B39" s="31" t="s">
        <v>87</v>
      </c>
      <c r="C39" s="255"/>
      <c r="D39" s="256"/>
      <c r="E39" s="257"/>
      <c r="F39" s="97" t="s">
        <v>32</v>
      </c>
      <c r="G39" s="10" t="str">
        <f>$G$12</f>
        <v>Team</v>
      </c>
      <c r="H39" s="10" t="str">
        <f>$H$12</f>
        <v>City</v>
      </c>
      <c r="I39" s="11" t="str">
        <f>$I$12</f>
        <v>Country</v>
      </c>
    </row>
    <row r="40" spans="2:9" ht="12.75">
      <c r="B40" s="146">
        <v>17</v>
      </c>
      <c r="C40" s="32"/>
      <c r="D40" s="25"/>
      <c r="E40" s="136">
        <f>$B$40</f>
        <v>17</v>
      </c>
      <c r="F40" s="71" t="str">
        <f>$B$6&amp;E40-$B$40+1</f>
        <v>CD1</v>
      </c>
      <c r="G40" s="5" t="str">
        <f>R30</f>
        <v>W813 (no. 1)</v>
      </c>
      <c r="H40" s="5" t="e">
        <f>VLOOKUP(G40,$G$13:$I$16,2,FALSE)</f>
        <v>#N/A</v>
      </c>
      <c r="I40" s="6" t="e">
        <f>VLOOKUP(G40,$G$13:$I$16,3,FALSE)</f>
        <v>#N/A</v>
      </c>
    </row>
    <row r="41" spans="2:9" ht="12.75">
      <c r="B41" s="31"/>
      <c r="C41" s="40"/>
      <c r="D41" s="41"/>
      <c r="E41" s="137">
        <f>E40+1</f>
        <v>18</v>
      </c>
      <c r="F41" s="97" t="str">
        <f>$B$6&amp;E41-$B$40+1</f>
        <v>CD2</v>
      </c>
      <c r="G41" s="10" t="str">
        <f>S30</f>
        <v>L813 (no. 2)</v>
      </c>
      <c r="H41" s="10" t="e">
        <f>VLOOKUP(G41,$G$13:$I$16,2,FALSE)</f>
        <v>#N/A</v>
      </c>
      <c r="I41" s="11" t="e">
        <f>VLOOKUP(G41,$G$13:$I$16,3,FALSE)</f>
        <v>#N/A</v>
      </c>
    </row>
    <row r="42" spans="2:9" ht="12.75">
      <c r="B42" s="31"/>
      <c r="C42" s="40"/>
      <c r="D42" s="41"/>
      <c r="E42" s="137">
        <f>E41+1</f>
        <v>19</v>
      </c>
      <c r="F42" s="97" t="str">
        <f>$B$6&amp;E42-$B$40+1</f>
        <v>CD3</v>
      </c>
      <c r="G42" s="10" t="str">
        <f>R27</f>
        <v>W713 (no. 3)</v>
      </c>
      <c r="H42" s="10" t="e">
        <f>VLOOKUP(G42,$G$13:$I$16,2,FALSE)</f>
        <v>#N/A</v>
      </c>
      <c r="I42" s="11" t="e">
        <f>VLOOKUP(G42,$G$13:$I$16,3,FALSE)</f>
        <v>#N/A</v>
      </c>
    </row>
    <row r="43" spans="2:9" ht="12.75">
      <c r="B43" s="31"/>
      <c r="C43" s="57"/>
      <c r="D43" s="27"/>
      <c r="E43" s="138">
        <f>E42+1</f>
        <v>20</v>
      </c>
      <c r="F43" s="73" t="str">
        <f>$B$6&amp;E43-$B$40+1</f>
        <v>CD4</v>
      </c>
      <c r="G43" s="14" t="str">
        <f>S27</f>
        <v>L713 (no. 4)</v>
      </c>
      <c r="H43" s="14" t="e">
        <f>VLOOKUP(G43,$G$13:$I$16,2,FALSE)</f>
        <v>#N/A</v>
      </c>
      <c r="I43" s="15" t="e">
        <f>VLOOKUP(G43,$G$13:$I$16,3,FALSE)</f>
        <v>#N/A</v>
      </c>
    </row>
    <row r="44" ht="12.75">
      <c r="B44" s="31"/>
    </row>
  </sheetData>
  <mergeCells count="13">
    <mergeCell ref="C4:F6"/>
    <mergeCell ref="C7:F8"/>
    <mergeCell ref="T19:U19"/>
    <mergeCell ref="V19:W19"/>
    <mergeCell ref="C11:F12"/>
    <mergeCell ref="X19:Y19"/>
    <mergeCell ref="N19:O19"/>
    <mergeCell ref="P19:Q19"/>
    <mergeCell ref="C38:E39"/>
    <mergeCell ref="J19:K19"/>
    <mergeCell ref="L19:M19"/>
    <mergeCell ref="F33:I33"/>
    <mergeCell ref="F34:I34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7" r:id="rId1"/>
  <headerFooter alignWithMargins="0">
    <oddHeader>&amp;L&amp;A&amp;RSaturday, June 18 2005</oddHeader>
    <oddFooter>&amp;L&amp;F&amp;R&amp;P</oddFooter>
  </headerFooter>
  <rowBreaks count="1" manualBreakCount="1">
    <brk id="36" min="2" max="18" man="1"/>
  </rowBreaks>
  <colBreaks count="1" manualBreakCount="1">
    <brk id="9" min="3" max="6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M37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11</v>
      </c>
      <c r="C4" s="260" t="str">
        <f>$B$4&amp;" "&amp;$B$5</f>
        <v>Women A</v>
      </c>
      <c r="D4" s="261"/>
      <c r="E4" s="261"/>
      <c r="F4" s="262"/>
      <c r="G4" s="5"/>
      <c r="H4" s="17" t="str">
        <f>$A$8&amp;":"</f>
        <v>Venue:</v>
      </c>
      <c r="I4" s="6" t="str">
        <f>$B$8</f>
        <v>Olympos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12</v>
      </c>
      <c r="C5" s="263"/>
      <c r="D5" s="264"/>
      <c r="E5" s="264"/>
      <c r="F5" s="265"/>
      <c r="G5" s="10"/>
      <c r="H5" s="19" t="str">
        <f>$A$9&amp;":"</f>
        <v>Court:</v>
      </c>
      <c r="I5" s="20">
        <f>$B$9</f>
        <v>4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52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0.5208333333333334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">
        <v>62</v>
      </c>
      <c r="D7" s="267"/>
      <c r="E7" s="267"/>
      <c r="F7" s="268"/>
      <c r="G7" s="24"/>
      <c r="H7" s="25" t="s">
        <v>13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15</v>
      </c>
      <c r="C8" s="269"/>
      <c r="D8" s="270"/>
      <c r="E8" s="270"/>
      <c r="F8" s="271"/>
      <c r="G8" s="14"/>
      <c r="H8" s="27" t="s">
        <v>16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4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0.5208333333333334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39" ht="12.75">
      <c r="A11" t="s">
        <v>19</v>
      </c>
      <c r="B11" s="26">
        <v>6</v>
      </c>
      <c r="C11" s="272" t="str">
        <f>$A$6&amp;" "&amp;$B$6</f>
        <v>Group FA</v>
      </c>
      <c r="D11" s="273"/>
      <c r="E11" s="273"/>
      <c r="F11" s="274"/>
      <c r="G11" s="32"/>
      <c r="H11" s="5"/>
      <c r="I11" s="6"/>
      <c r="J11" s="33" t="s">
        <v>20</v>
      </c>
      <c r="K11" s="5"/>
      <c r="L11" s="5"/>
      <c r="M11" s="34" t="s">
        <v>21</v>
      </c>
      <c r="N11" s="32"/>
      <c r="O11" s="35" t="s">
        <v>22</v>
      </c>
      <c r="P11" s="32"/>
      <c r="Q11" s="34"/>
      <c r="R11" s="3" t="s">
        <v>23</v>
      </c>
      <c r="S11" s="3"/>
      <c r="T11" s="3"/>
      <c r="U11" s="3"/>
      <c r="V11" s="3"/>
      <c r="W11" s="3"/>
      <c r="X11" s="3"/>
      <c r="Y11" s="3"/>
      <c r="Z11" s="32" t="s">
        <v>24</v>
      </c>
      <c r="AA11" s="36" t="s">
        <v>25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1"/>
    </row>
    <row r="12" spans="1:39" ht="12.75">
      <c r="A12" t="s">
        <v>26</v>
      </c>
      <c r="B12" s="26"/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40" t="s">
        <v>30</v>
      </c>
      <c r="K12" s="41"/>
      <c r="L12" s="10"/>
      <c r="M12" s="11"/>
      <c r="N12" s="40"/>
      <c r="O12" s="42" t="s">
        <v>31</v>
      </c>
      <c r="P12" s="40"/>
      <c r="Q12" s="42" t="s">
        <v>32</v>
      </c>
      <c r="V12" t="s">
        <v>33</v>
      </c>
      <c r="Z12" s="43" t="s">
        <v>34</v>
      </c>
      <c r="AA12" s="44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</row>
    <row r="13" spans="1:39" ht="12.75">
      <c r="A13" t="s">
        <v>35</v>
      </c>
      <c r="B13" s="45"/>
      <c r="C13" s="32"/>
      <c r="D13" s="5"/>
      <c r="E13" s="5"/>
      <c r="F13" s="46"/>
      <c r="G13" s="32" t="s">
        <v>190</v>
      </c>
      <c r="H13" s="5" t="s">
        <v>191</v>
      </c>
      <c r="I13" s="6" t="s">
        <v>192</v>
      </c>
      <c r="J13" s="219">
        <f>SUM(K23,M23,J27,L27,O23,N27)</f>
        <v>0</v>
      </c>
      <c r="K13" s="220">
        <f>SUM(J23,L23,K27,M27,N23,O27)</f>
        <v>0</v>
      </c>
      <c r="L13" s="221"/>
      <c r="M13" s="222">
        <f>J13-K13</f>
        <v>0</v>
      </c>
      <c r="N13" s="223"/>
      <c r="O13" s="239">
        <f>SUM(Q23,P27)</f>
        <v>0</v>
      </c>
      <c r="P13" s="47"/>
      <c r="Q13" s="222">
        <f>RANK(AA13,$AA$13:$AA$15)</f>
        <v>1</v>
      </c>
      <c r="R13" s="48" t="str">
        <f aca="true" t="shared" si="0" ref="R13:T15">G13</f>
        <v>BGS Poulette</v>
      </c>
      <c r="S13" s="48" t="str">
        <f t="shared" si="0"/>
        <v>Sint-Pieters-Leeuw</v>
      </c>
      <c r="T13" s="48" t="str">
        <f t="shared" si="0"/>
        <v>Belgium</v>
      </c>
      <c r="V13" s="48" t="str">
        <f>G13</f>
        <v>BGS Poulette</v>
      </c>
      <c r="W13" t="s">
        <v>36</v>
      </c>
      <c r="Z13" s="49"/>
      <c r="AA13" s="36">
        <f>O13*10000000+M13*10000+J13*10+Z13</f>
        <v>0</v>
      </c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</row>
    <row r="14" spans="2:39" ht="12.75">
      <c r="B14" s="3" t="s">
        <v>37</v>
      </c>
      <c r="C14" s="40"/>
      <c r="D14" s="10"/>
      <c r="E14" s="10"/>
      <c r="F14" s="50"/>
      <c r="G14" s="40" t="s">
        <v>193</v>
      </c>
      <c r="H14" s="10" t="s">
        <v>155</v>
      </c>
      <c r="I14" s="11" t="s">
        <v>123</v>
      </c>
      <c r="J14" s="199">
        <f>SUM(J21,L21,K27,M27,N21,O27)</f>
        <v>0</v>
      </c>
      <c r="K14" s="224">
        <f>SUM(K21,M21,J27,L27,O21,N27)</f>
        <v>0</v>
      </c>
      <c r="L14" s="225"/>
      <c r="M14" s="200">
        <f>J14-K14</f>
        <v>0</v>
      </c>
      <c r="N14" s="226"/>
      <c r="O14" s="240">
        <f>SUM(P21,Q27)</f>
        <v>0</v>
      </c>
      <c r="P14" s="54"/>
      <c r="Q14" s="200">
        <f>RANK(AA14,$AA$13:$AA$15)</f>
        <v>1</v>
      </c>
      <c r="R14" s="48" t="str">
        <f t="shared" si="0"/>
        <v>Colonian Warmonists</v>
      </c>
      <c r="S14" s="48" t="str">
        <f t="shared" si="0"/>
        <v>Köln</v>
      </c>
      <c r="T14" s="48" t="str">
        <f t="shared" si="0"/>
        <v>Germany</v>
      </c>
      <c r="V14" s="48" t="str">
        <f>G14</f>
        <v>Colonian Warmonists</v>
      </c>
      <c r="W14" t="s">
        <v>36</v>
      </c>
      <c r="Z14" s="55"/>
      <c r="AA14" s="56">
        <f>O14*10000000+M14*10000+J14*10+Z14</f>
        <v>0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</row>
    <row r="15" spans="2:39" ht="12.75">
      <c r="B15" s="3" t="s">
        <v>38</v>
      </c>
      <c r="C15" s="57"/>
      <c r="D15" s="58"/>
      <c r="E15" s="14"/>
      <c r="F15" s="39"/>
      <c r="G15" s="57" t="s">
        <v>194</v>
      </c>
      <c r="H15" s="14" t="s">
        <v>180</v>
      </c>
      <c r="I15" s="15" t="s">
        <v>123</v>
      </c>
      <c r="J15" s="227">
        <f>SUM(K21,M21,J23,L23,O21,N23)</f>
        <v>0</v>
      </c>
      <c r="K15" s="228">
        <f>SUM(J21,L21,K23,M23,N21,O23)</f>
        <v>0</v>
      </c>
      <c r="L15" s="229"/>
      <c r="M15" s="230">
        <f>J15-K15</f>
        <v>0</v>
      </c>
      <c r="N15" s="231"/>
      <c r="O15" s="241">
        <f>SUM(Q21,P23)</f>
        <v>0</v>
      </c>
      <c r="P15" s="63"/>
      <c r="Q15" s="230">
        <f>RANK(AA15,$AA$13:$AA$15)</f>
        <v>1</v>
      </c>
      <c r="R15" s="48" t="str">
        <f t="shared" si="0"/>
        <v>Salt &amp; Lemon</v>
      </c>
      <c r="S15" s="48" t="str">
        <f t="shared" si="0"/>
        <v>Düsseldorf</v>
      </c>
      <c r="T15" s="48" t="str">
        <f t="shared" si="0"/>
        <v>Germany</v>
      </c>
      <c r="V15" s="48" t="str">
        <f>G15</f>
        <v>Salt &amp; Lemon</v>
      </c>
      <c r="W15" t="s">
        <v>63</v>
      </c>
      <c r="Z15" s="64"/>
      <c r="AA15" s="44">
        <f>O15*10000000+M15*10000+J15*10+Z15</f>
        <v>0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</row>
    <row r="16" spans="3:39" s="65" customFormat="1" ht="12.75">
      <c r="C16" s="19"/>
      <c r="D16" s="66"/>
      <c r="E16" s="66"/>
      <c r="F16" s="67"/>
      <c r="G16" s="68"/>
      <c r="H16" s="66"/>
      <c r="I16" s="66"/>
      <c r="J16" s="69"/>
      <c r="K16" s="69"/>
      <c r="L16" s="69"/>
      <c r="M16" s="69"/>
      <c r="N16" s="69"/>
      <c r="O16" s="69"/>
      <c r="P16" s="69"/>
      <c r="Q16" s="19"/>
      <c r="AA16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0"/>
    </row>
    <row r="17" spans="3:39" s="65" customFormat="1" ht="12.75">
      <c r="C17" s="19"/>
      <c r="D17" s="66"/>
      <c r="E17" s="66"/>
      <c r="F17" s="67"/>
      <c r="G17" s="68"/>
      <c r="H17" s="66"/>
      <c r="I17" s="66"/>
      <c r="J17" s="69"/>
      <c r="K17" s="69"/>
      <c r="L17" s="69"/>
      <c r="M17" s="69"/>
      <c r="N17" s="69"/>
      <c r="O17" s="69"/>
      <c r="P17" s="69"/>
      <c r="Q17" s="1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3:39" ht="12.75">
      <c r="C18" s="32"/>
      <c r="D18" s="5"/>
      <c r="E18" s="5"/>
      <c r="F18" s="5"/>
      <c r="G18" s="5"/>
      <c r="H18" s="5"/>
      <c r="I18" s="6"/>
      <c r="J18" s="249" t="s">
        <v>39</v>
      </c>
      <c r="K18" s="250"/>
      <c r="L18" s="249" t="s">
        <v>40</v>
      </c>
      <c r="M18" s="250"/>
      <c r="N18" s="249" t="s">
        <v>41</v>
      </c>
      <c r="O18" s="250"/>
      <c r="P18" s="249" t="s">
        <v>31</v>
      </c>
      <c r="Q18" s="250"/>
      <c r="T18" s="249" t="s">
        <v>39</v>
      </c>
      <c r="U18" s="250"/>
      <c r="V18" s="249" t="s">
        <v>40</v>
      </c>
      <c r="W18" s="250"/>
      <c r="X18" s="249" t="s">
        <v>41</v>
      </c>
      <c r="Y18" s="250"/>
      <c r="Z18" s="249" t="s">
        <v>42</v>
      </c>
      <c r="AA18" s="250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3:27" ht="12.75">
      <c r="C19" s="73" t="s">
        <v>18</v>
      </c>
      <c r="D19" s="74" t="s">
        <v>43</v>
      </c>
      <c r="E19" s="74" t="s">
        <v>17</v>
      </c>
      <c r="F19" s="75" t="s">
        <v>44</v>
      </c>
      <c r="G19" s="76" t="s">
        <v>45</v>
      </c>
      <c r="H19" s="77" t="s">
        <v>46</v>
      </c>
      <c r="I19" s="78" t="s">
        <v>47</v>
      </c>
      <c r="J19" s="79" t="s">
        <v>48</v>
      </c>
      <c r="K19" s="80" t="s">
        <v>49</v>
      </c>
      <c r="L19" s="79" t="s">
        <v>48</v>
      </c>
      <c r="M19" s="80" t="s">
        <v>49</v>
      </c>
      <c r="N19" s="79" t="s">
        <v>48</v>
      </c>
      <c r="O19" s="80" t="s">
        <v>49</v>
      </c>
      <c r="P19" s="81" t="s">
        <v>48</v>
      </c>
      <c r="Q19" s="82" t="s">
        <v>49</v>
      </c>
      <c r="R19" t="s">
        <v>50</v>
      </c>
      <c r="T19" s="79" t="s">
        <v>48</v>
      </c>
      <c r="U19" s="80" t="s">
        <v>49</v>
      </c>
      <c r="V19" s="79" t="s">
        <v>48</v>
      </c>
      <c r="W19" s="80" t="s">
        <v>49</v>
      </c>
      <c r="X19" s="79" t="s">
        <v>48</v>
      </c>
      <c r="Y19" s="80" t="s">
        <v>49</v>
      </c>
      <c r="Z19" s="79" t="s">
        <v>48</v>
      </c>
      <c r="AA19" s="80" t="s">
        <v>49</v>
      </c>
    </row>
    <row r="20" spans="3:27" ht="12.75">
      <c r="C20" s="71"/>
      <c r="D20" s="25"/>
      <c r="E20" s="25"/>
      <c r="F20" s="25"/>
      <c r="G20" s="5"/>
      <c r="H20" s="5"/>
      <c r="I20" s="6"/>
      <c r="J20" s="71"/>
      <c r="K20" s="72"/>
      <c r="L20" s="71"/>
      <c r="M20" s="72"/>
      <c r="N20" s="83"/>
      <c r="O20" s="17"/>
      <c r="P20" s="71"/>
      <c r="Q20" s="72"/>
      <c r="T20" s="32"/>
      <c r="U20" s="6"/>
      <c r="V20" s="32"/>
      <c r="W20" s="6"/>
      <c r="X20" s="32"/>
      <c r="Y20" s="6"/>
      <c r="Z20" s="32"/>
      <c r="AA20" s="6"/>
    </row>
    <row r="21" spans="3:27" ht="12.75">
      <c r="C21" s="84">
        <f>$B$10+(D21-$B$11)*($B$12/60/24+TIME(0,5,0))</f>
        <v>0.5208333333333334</v>
      </c>
      <c r="D21" s="85">
        <f>$B$11</f>
        <v>6</v>
      </c>
      <c r="E21" s="85">
        <f>$B$9</f>
        <v>4</v>
      </c>
      <c r="F21" s="85">
        <f>$E21+$D21*100</f>
        <v>604</v>
      </c>
      <c r="G21" s="86" t="str">
        <f>G14</f>
        <v>Colonian Warmonists</v>
      </c>
      <c r="H21" s="86" t="str">
        <f>G15</f>
        <v>Salt &amp; Lemon</v>
      </c>
      <c r="I21" s="87" t="str">
        <f>G13</f>
        <v>BGS Poulette</v>
      </c>
      <c r="J21" s="88"/>
      <c r="K21" s="87"/>
      <c r="L21" s="88"/>
      <c r="M21" s="87"/>
      <c r="N21" s="89">
        <f aca="true" t="shared" si="1" ref="N21:N29">IF(OR(T21+V21=2,U21+W21=2),"---","")</f>
      </c>
      <c r="O21" s="90">
        <f aca="true" t="shared" si="2" ref="O21:O29">IF(OR(T21+V21=2,U21+W21=2),"---","")</f>
      </c>
      <c r="P21" s="199">
        <f>IF(AND(Z21=2,AA21=0),3,Z21)</f>
        <v>0</v>
      </c>
      <c r="Q21" s="200">
        <f>IF(AND(AA21=2,Z21=0),3,AA21)</f>
        <v>0</v>
      </c>
      <c r="T21" s="51">
        <f>IF(J21&gt;K21,1,0)</f>
        <v>0</v>
      </c>
      <c r="U21" s="53">
        <f>IF(K21&gt;J21,1,0)</f>
        <v>0</v>
      </c>
      <c r="V21" s="51">
        <f>IF(L21&gt;M21,1,0)</f>
        <v>0</v>
      </c>
      <c r="W21" s="53">
        <f>IF(M21&gt;L21,1,0)</f>
        <v>0</v>
      </c>
      <c r="X21" s="51">
        <f>IF(N21&gt;O21,1,0)</f>
        <v>0</v>
      </c>
      <c r="Y21" s="53">
        <f>IF(O21&gt;N21,1,0)</f>
        <v>0</v>
      </c>
      <c r="Z21" s="54">
        <f>SUM(T21,V21,X21)</f>
        <v>0</v>
      </c>
      <c r="AA21" s="91">
        <f>SUM(U21,W21,Y21)</f>
        <v>0</v>
      </c>
    </row>
    <row r="22" spans="2:27" ht="12.75">
      <c r="B22" s="31"/>
      <c r="C22" s="84"/>
      <c r="D22" s="85"/>
      <c r="E22" s="85"/>
      <c r="F22" s="85"/>
      <c r="G22" s="30"/>
      <c r="H22" s="30"/>
      <c r="I22" s="87"/>
      <c r="J22" s="92"/>
      <c r="K22" s="93"/>
      <c r="L22" s="92"/>
      <c r="M22" s="93"/>
      <c r="N22" s="89">
        <f t="shared" si="1"/>
      </c>
      <c r="O22" s="90">
        <f t="shared" si="2"/>
      </c>
      <c r="P22" s="199"/>
      <c r="Q22" s="200"/>
      <c r="T22" s="51"/>
      <c r="U22" s="53"/>
      <c r="V22" s="51"/>
      <c r="W22" s="53"/>
      <c r="X22" s="51"/>
      <c r="Y22" s="53"/>
      <c r="Z22" s="54"/>
      <c r="AA22" s="91"/>
    </row>
    <row r="23" spans="2:27" ht="12.75">
      <c r="B23" s="31"/>
      <c r="C23" s="84">
        <f>C21+75/60/24</f>
        <v>0.5729166666666667</v>
      </c>
      <c r="D23" s="85">
        <f>$B$11+2</f>
        <v>8</v>
      </c>
      <c r="E23" s="85">
        <f>$B$9</f>
        <v>4</v>
      </c>
      <c r="F23" s="85">
        <f>$E23+$D23*100</f>
        <v>804</v>
      </c>
      <c r="G23" s="86" t="str">
        <f>G15</f>
        <v>Salt &amp; Lemon</v>
      </c>
      <c r="H23" s="86" t="str">
        <f>G13</f>
        <v>BGS Poulette</v>
      </c>
      <c r="I23" s="87" t="str">
        <f>G14</f>
        <v>Colonian Warmonists</v>
      </c>
      <c r="J23" s="88"/>
      <c r="K23" s="87"/>
      <c r="L23" s="88"/>
      <c r="M23" s="87"/>
      <c r="N23" s="89">
        <f t="shared" si="1"/>
      </c>
      <c r="O23" s="90">
        <f t="shared" si="2"/>
      </c>
      <c r="P23" s="199">
        <f>IF(AND(Z23=2,AA23=0),3,Z23)</f>
        <v>0</v>
      </c>
      <c r="Q23" s="200">
        <f>IF(AND(AA23=2,Z23=0),3,AA23)</f>
        <v>0</v>
      </c>
      <c r="T23" s="51">
        <f>IF(J23&gt;K23,1,0)</f>
        <v>0</v>
      </c>
      <c r="U23" s="53">
        <f>IF(K23&gt;J23,1,0)</f>
        <v>0</v>
      </c>
      <c r="V23" s="51">
        <f>IF(L23&gt;M23,1,0)</f>
        <v>0</v>
      </c>
      <c r="W23" s="53">
        <f>IF(M23&gt;L23,1,0)</f>
        <v>0</v>
      </c>
      <c r="X23" s="51">
        <f>IF(N23&gt;O23,1,0)</f>
        <v>0</v>
      </c>
      <c r="Y23" s="53">
        <f>IF(O23&gt;N23,1,0)</f>
        <v>0</v>
      </c>
      <c r="Z23" s="54">
        <f>SUM(T23,V23,X23)</f>
        <v>0</v>
      </c>
      <c r="AA23" s="91">
        <f>SUM(U23,W23,Y23)</f>
        <v>0</v>
      </c>
    </row>
    <row r="24" spans="2:27" ht="12.75">
      <c r="B24" s="31"/>
      <c r="C24" s="84"/>
      <c r="D24" s="85"/>
      <c r="E24" s="85"/>
      <c r="F24" s="85"/>
      <c r="G24" s="86"/>
      <c r="H24" s="86"/>
      <c r="I24" s="87"/>
      <c r="J24" s="88"/>
      <c r="K24" s="87"/>
      <c r="L24" s="88"/>
      <c r="M24" s="87"/>
      <c r="N24" s="89"/>
      <c r="O24" s="90"/>
      <c r="P24" s="199"/>
      <c r="Q24" s="200"/>
      <c r="T24" s="51"/>
      <c r="U24" s="53"/>
      <c r="V24" s="51"/>
      <c r="W24" s="53"/>
      <c r="X24" s="51"/>
      <c r="Y24" s="53"/>
      <c r="Z24" s="54"/>
      <c r="AA24" s="91"/>
    </row>
    <row r="25" spans="2:27" ht="12.75">
      <c r="B25" s="31"/>
      <c r="C25" s="84">
        <f>C23+75/60/24</f>
        <v>0.6250000000000001</v>
      </c>
      <c r="D25" s="201">
        <f>$B$11+4</f>
        <v>10</v>
      </c>
      <c r="E25" s="85"/>
      <c r="F25" s="258" t="s">
        <v>97</v>
      </c>
      <c r="G25" s="258"/>
      <c r="H25" s="258"/>
      <c r="I25" s="259"/>
      <c r="J25" s="88"/>
      <c r="K25" s="87"/>
      <c r="L25" s="88"/>
      <c r="M25" s="87"/>
      <c r="N25" s="89"/>
      <c r="O25" s="90"/>
      <c r="P25" s="199"/>
      <c r="Q25" s="200"/>
      <c r="T25" s="51"/>
      <c r="U25" s="53"/>
      <c r="V25" s="51"/>
      <c r="W25" s="53"/>
      <c r="X25" s="51"/>
      <c r="Y25" s="53"/>
      <c r="Z25" s="54"/>
      <c r="AA25" s="91"/>
    </row>
    <row r="26" spans="2:27" ht="12.75">
      <c r="B26" s="31"/>
      <c r="C26" s="84"/>
      <c r="D26" s="85"/>
      <c r="E26" s="85"/>
      <c r="F26" s="85"/>
      <c r="G26" s="10"/>
      <c r="H26" s="10"/>
      <c r="I26" s="94"/>
      <c r="J26" s="40"/>
      <c r="K26" s="11"/>
      <c r="L26" s="40"/>
      <c r="M26" s="11"/>
      <c r="N26" s="89">
        <f t="shared" si="1"/>
      </c>
      <c r="O26" s="90">
        <f t="shared" si="2"/>
      </c>
      <c r="P26" s="199"/>
      <c r="Q26" s="200"/>
      <c r="T26" s="51"/>
      <c r="U26" s="53"/>
      <c r="V26" s="51"/>
      <c r="W26" s="53"/>
      <c r="X26" s="51"/>
      <c r="Y26" s="53"/>
      <c r="Z26" s="54"/>
      <c r="AA26" s="91"/>
    </row>
    <row r="27" spans="2:27" ht="12.75">
      <c r="B27" s="31"/>
      <c r="C27" s="84">
        <f>C25+30/60/24</f>
        <v>0.6458333333333335</v>
      </c>
      <c r="D27" s="85">
        <f>$B$11+5</f>
        <v>11</v>
      </c>
      <c r="E27" s="85">
        <f>$B$9</f>
        <v>4</v>
      </c>
      <c r="F27" s="85">
        <f>$E27+$D27*100</f>
        <v>1104</v>
      </c>
      <c r="G27" s="95" t="str">
        <f>G13</f>
        <v>BGS Poulette</v>
      </c>
      <c r="H27" s="95" t="str">
        <f>G14</f>
        <v>Colonian Warmonists</v>
      </c>
      <c r="I27" s="94" t="str">
        <f>"Official / "&amp;G15</f>
        <v>Official / Salt &amp; Lemon</v>
      </c>
      <c r="J27" s="96"/>
      <c r="K27" s="94"/>
      <c r="L27" s="96"/>
      <c r="M27" s="94"/>
      <c r="N27" s="89">
        <f t="shared" si="1"/>
      </c>
      <c r="O27" s="90">
        <f t="shared" si="2"/>
      </c>
      <c r="P27" s="199">
        <f>IF(AND(Z27=2,AA27=0),3,Z27)</f>
        <v>0</v>
      </c>
      <c r="Q27" s="200">
        <f>IF(AND(AA27=2,Z27=0),3,AA27)</f>
        <v>0</v>
      </c>
      <c r="T27" s="51">
        <f>IF(J27&gt;K27,1,0)</f>
        <v>0</v>
      </c>
      <c r="U27" s="53">
        <f>IF(K27&gt;J27,1,0)</f>
        <v>0</v>
      </c>
      <c r="V27" s="51">
        <f>IF(L27&gt;M27,1,0)</f>
        <v>0</v>
      </c>
      <c r="W27" s="53">
        <f>IF(M27&gt;L27,1,0)</f>
        <v>0</v>
      </c>
      <c r="X27" s="51">
        <f>IF(N27&gt;O27,1,0)</f>
        <v>0</v>
      </c>
      <c r="Y27" s="53">
        <f>IF(O27&gt;N27,1,0)</f>
        <v>0</v>
      </c>
      <c r="Z27" s="54">
        <f>SUM(T27,V27,X27)</f>
        <v>0</v>
      </c>
      <c r="AA27" s="91">
        <f>SUM(U27,W27,Y27)</f>
        <v>0</v>
      </c>
    </row>
    <row r="28" spans="2:27" ht="12.75">
      <c r="B28" s="31"/>
      <c r="C28" s="84"/>
      <c r="D28" s="85"/>
      <c r="E28" s="85"/>
      <c r="F28" s="85"/>
      <c r="G28" s="95"/>
      <c r="H28" s="95"/>
      <c r="I28" s="94"/>
      <c r="J28" s="97"/>
      <c r="K28" s="98"/>
      <c r="L28" s="97"/>
      <c r="M28" s="98"/>
      <c r="N28" s="89">
        <f t="shared" si="1"/>
      </c>
      <c r="O28" s="90">
        <f t="shared" si="2"/>
      </c>
      <c r="P28" s="99"/>
      <c r="Q28" s="100"/>
      <c r="T28" s="101"/>
      <c r="U28" s="11"/>
      <c r="V28" s="40"/>
      <c r="W28" s="11"/>
      <c r="X28" s="40"/>
      <c r="Y28" s="11"/>
      <c r="Z28" s="40"/>
      <c r="AA28" s="11"/>
    </row>
    <row r="29" spans="2:27" ht="12.75" customHeight="1">
      <c r="B29" s="70"/>
      <c r="C29" s="84">
        <f>C27+75/60/24</f>
        <v>0.6979166666666669</v>
      </c>
      <c r="D29" s="102" t="s">
        <v>51</v>
      </c>
      <c r="F29" s="168"/>
      <c r="G29" s="251" t="s">
        <v>69</v>
      </c>
      <c r="H29" s="251"/>
      <c r="I29" s="98"/>
      <c r="J29" s="97"/>
      <c r="K29" s="98"/>
      <c r="L29" s="97"/>
      <c r="M29" s="98"/>
      <c r="N29" s="89">
        <f t="shared" si="1"/>
      </c>
      <c r="O29" s="90">
        <f t="shared" si="2"/>
      </c>
      <c r="P29" s="99"/>
      <c r="Q29" s="100"/>
      <c r="T29" s="40"/>
      <c r="U29" s="11"/>
      <c r="V29" s="40"/>
      <c r="W29" s="11"/>
      <c r="X29" s="40"/>
      <c r="Y29" s="11"/>
      <c r="Z29" s="40"/>
      <c r="AA29" s="11"/>
    </row>
    <row r="30" spans="2:27" ht="12.75">
      <c r="B30" s="31"/>
      <c r="C30" s="73"/>
      <c r="D30" s="14"/>
      <c r="E30" s="14"/>
      <c r="F30" s="14"/>
      <c r="G30" s="14"/>
      <c r="H30" s="14"/>
      <c r="I30" s="15"/>
      <c r="J30" s="57"/>
      <c r="K30" s="15"/>
      <c r="L30" s="57"/>
      <c r="M30" s="15"/>
      <c r="N30" s="104"/>
      <c r="O30" s="58"/>
      <c r="P30" s="57"/>
      <c r="Q30" s="15"/>
      <c r="T30" s="57"/>
      <c r="U30" s="15"/>
      <c r="V30" s="57"/>
      <c r="W30" s="15"/>
      <c r="X30" s="57"/>
      <c r="Y30" s="15"/>
      <c r="Z30" s="57"/>
      <c r="AA30" s="15"/>
    </row>
    <row r="31" spans="2:17" ht="12.75">
      <c r="B31" s="31"/>
      <c r="C31" s="105"/>
      <c r="D31" s="85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ht="12.75">
      <c r="B32" s="31"/>
    </row>
    <row r="33" spans="2:9" ht="12.75" customHeight="1">
      <c r="B33" s="31"/>
      <c r="C33" s="252" t="str">
        <f>$B$4&amp;" "&amp;$B$5</f>
        <v>Women A</v>
      </c>
      <c r="D33" s="253"/>
      <c r="E33" s="254"/>
      <c r="F33" s="32"/>
      <c r="G33" s="5"/>
      <c r="H33" s="5"/>
      <c r="I33" s="6"/>
    </row>
    <row r="34" spans="2:9" ht="12.75" customHeight="1">
      <c r="B34" s="31"/>
      <c r="C34" s="279"/>
      <c r="D34" s="280"/>
      <c r="E34" s="281"/>
      <c r="F34" s="97" t="str">
        <f>$Q$12</f>
        <v>Rank</v>
      </c>
      <c r="G34" s="10" t="str">
        <f>$G$12</f>
        <v>Team</v>
      </c>
      <c r="H34" s="10" t="str">
        <f>$H$12</f>
        <v>City</v>
      </c>
      <c r="I34" s="11" t="str">
        <f>$I$12</f>
        <v>Country</v>
      </c>
    </row>
    <row r="35" spans="2:9" ht="12.75">
      <c r="B35" s="31"/>
      <c r="C35" s="32"/>
      <c r="D35" s="25" t="s">
        <v>64</v>
      </c>
      <c r="E35" s="136">
        <v>1</v>
      </c>
      <c r="F35" s="71" t="str">
        <f>$B$6&amp;"1"</f>
        <v>FA1</v>
      </c>
      <c r="G35" s="5" t="str">
        <f>VLOOKUP(1,Q13:T15,2,FALSE)</f>
        <v>BGS Poulette</v>
      </c>
      <c r="H35" s="5" t="str">
        <f>VLOOKUP(1,Q13:T15,3,FALSE)</f>
        <v>Sint-Pieters-Leeuw</v>
      </c>
      <c r="I35" s="6" t="str">
        <f>VLOOKUP(1,Q13:T15,4,FALSE)</f>
        <v>Belgium</v>
      </c>
    </row>
    <row r="36" spans="2:9" ht="12.75">
      <c r="B36" s="31"/>
      <c r="C36" s="40"/>
      <c r="D36" s="41" t="s">
        <v>65</v>
      </c>
      <c r="E36" s="137">
        <v>2</v>
      </c>
      <c r="F36" s="97" t="str">
        <f>$B$6&amp;"2"</f>
        <v>FA2</v>
      </c>
      <c r="G36" s="10" t="e">
        <f>VLOOKUP(2,Q13:T15,2,FALSE)</f>
        <v>#N/A</v>
      </c>
      <c r="H36" s="10" t="e">
        <f>VLOOKUP(2,Q13:T15,3,FALSE)</f>
        <v>#N/A</v>
      </c>
      <c r="I36" s="11" t="e">
        <f>VLOOKUP(2,Q13:T15,4,FALSE)</f>
        <v>#N/A</v>
      </c>
    </row>
    <row r="37" spans="2:9" ht="12.75">
      <c r="B37" s="31"/>
      <c r="C37" s="57"/>
      <c r="D37" s="27" t="s">
        <v>66</v>
      </c>
      <c r="E37" s="138">
        <v>3</v>
      </c>
      <c r="F37" s="73" t="str">
        <f>$B$6&amp;"3"</f>
        <v>FA3</v>
      </c>
      <c r="G37" s="14" t="e">
        <f>VLOOKUP(3,Q13:T15,2,FALSE)</f>
        <v>#N/A</v>
      </c>
      <c r="H37" s="14" t="e">
        <f>VLOOKUP(3,Q13:T15,3,FALSE)</f>
        <v>#N/A</v>
      </c>
      <c r="I37" s="15" t="e">
        <f>VLOOKUP(3,Q13:T15,4,FALSE)</f>
        <v>#N/A</v>
      </c>
    </row>
  </sheetData>
  <mergeCells count="14">
    <mergeCell ref="C4:F6"/>
    <mergeCell ref="C7:F8"/>
    <mergeCell ref="G29:H29"/>
    <mergeCell ref="F25:I25"/>
    <mergeCell ref="C11:F12"/>
    <mergeCell ref="T18:U18"/>
    <mergeCell ref="V18:W18"/>
    <mergeCell ref="X18:Y18"/>
    <mergeCell ref="Z18:AA18"/>
    <mergeCell ref="P18:Q18"/>
    <mergeCell ref="C33:E34"/>
    <mergeCell ref="J18:K18"/>
    <mergeCell ref="L18:M18"/>
    <mergeCell ref="N18:O18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2" manualBreakCount="2">
    <brk id="3" max="255" man="1"/>
    <brk id="31" min="2" max="16" man="1"/>
  </rowBreaks>
  <colBreaks count="1" manualBreakCount="1">
    <brk id="1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U39"/>
  <sheetViews>
    <sheetView zoomScale="50" zoomScaleNormal="50" workbookViewId="0" topLeftCell="A7">
      <selection activeCell="A23" sqref="A23"/>
    </sheetView>
  </sheetViews>
  <sheetFormatPr defaultColWidth="9.140625" defaultRowHeight="12.75"/>
  <cols>
    <col min="3" max="6" width="6.7109375" style="0" customWidth="1"/>
    <col min="7" max="7" width="20.7109375" style="113" customWidth="1"/>
    <col min="8" max="13" width="6.7109375" style="0" customWidth="1"/>
    <col min="14" max="14" width="10.7109375" style="0" customWidth="1"/>
    <col min="15" max="15" width="6.7109375" style="0" customWidth="1"/>
    <col min="16" max="16" width="10.7109375" style="0" customWidth="1"/>
    <col min="17" max="17" width="6.7109375" style="0" customWidth="1"/>
    <col min="18" max="18" width="10.7109375" style="0" customWidth="1"/>
    <col min="19" max="19" width="6.7109375" style="0" customWidth="1"/>
    <col min="20" max="20" width="10.7109375" style="0" customWidth="1"/>
    <col min="21" max="21" width="6.7109375" style="0" customWidth="1"/>
    <col min="22" max="22" width="2.7109375" style="0" customWidth="1"/>
  </cols>
  <sheetData>
    <row r="1" spans="1:13" ht="12.75" customHeight="1">
      <c r="A1" t="s">
        <v>10</v>
      </c>
      <c r="B1" s="16" t="s">
        <v>11</v>
      </c>
      <c r="C1" s="260" t="str">
        <f>$B$29&amp;" "&amp;$B$30</f>
        <v> </v>
      </c>
      <c r="D1" s="261"/>
      <c r="E1" s="261"/>
      <c r="F1" s="262"/>
      <c r="G1" s="5"/>
      <c r="H1" s="106"/>
      <c r="I1" s="107" t="s">
        <v>53</v>
      </c>
      <c r="J1" s="108"/>
      <c r="K1" s="109"/>
      <c r="L1" s="109"/>
      <c r="M1" s="30"/>
    </row>
    <row r="2" spans="2:13" ht="12.75" customHeight="1">
      <c r="B2" s="18" t="s">
        <v>12</v>
      </c>
      <c r="C2" s="263"/>
      <c r="D2" s="264"/>
      <c r="E2" s="264"/>
      <c r="F2" s="265"/>
      <c r="G2" s="10"/>
      <c r="H2" s="106"/>
      <c r="I2" s="107" t="s">
        <v>53</v>
      </c>
      <c r="J2" s="108"/>
      <c r="K2" s="109"/>
      <c r="L2" s="109"/>
      <c r="M2" s="30"/>
    </row>
    <row r="3" spans="1:13" ht="12.75" customHeight="1">
      <c r="A3" s="18" t="s">
        <v>101</v>
      </c>
      <c r="B3" s="18" t="s">
        <v>52</v>
      </c>
      <c r="C3" s="263"/>
      <c r="D3" s="264"/>
      <c r="E3" s="264"/>
      <c r="F3" s="265"/>
      <c r="G3" s="21"/>
      <c r="H3" s="106"/>
      <c r="I3" s="107" t="s">
        <v>53</v>
      </c>
      <c r="J3" s="108"/>
      <c r="K3" s="109"/>
      <c r="L3" s="109"/>
      <c r="M3" s="30"/>
    </row>
    <row r="4" spans="1:13" ht="12.75" customHeight="1">
      <c r="A4" s="18"/>
      <c r="B4" s="18"/>
      <c r="C4" s="266" t="s">
        <v>62</v>
      </c>
      <c r="D4" s="267"/>
      <c r="E4" s="267"/>
      <c r="F4" s="268"/>
      <c r="G4" s="24"/>
      <c r="H4" s="107"/>
      <c r="I4" s="107" t="s">
        <v>53</v>
      </c>
      <c r="J4" s="108"/>
      <c r="K4" s="109"/>
      <c r="L4" s="109"/>
      <c r="M4" s="30"/>
    </row>
    <row r="5" spans="1:13" ht="13.5" customHeight="1" thickBot="1">
      <c r="A5" s="18" t="s">
        <v>14</v>
      </c>
      <c r="B5" s="26" t="s">
        <v>15</v>
      </c>
      <c r="C5" s="269"/>
      <c r="D5" s="270"/>
      <c r="E5" s="270"/>
      <c r="F5" s="271"/>
      <c r="G5" s="14"/>
      <c r="H5" s="107"/>
      <c r="I5" s="107" t="s">
        <v>53</v>
      </c>
      <c r="J5" s="108"/>
      <c r="K5" s="109"/>
      <c r="L5" s="109"/>
      <c r="M5" s="30"/>
    </row>
    <row r="6" spans="1:13" ht="17.25" customHeight="1">
      <c r="A6" s="18" t="s">
        <v>17</v>
      </c>
      <c r="B6" s="26">
        <v>4</v>
      </c>
      <c r="C6" s="28"/>
      <c r="D6" s="28"/>
      <c r="E6" s="28"/>
      <c r="F6" s="28"/>
      <c r="G6"/>
      <c r="H6" s="9"/>
      <c r="I6" s="107" t="s">
        <v>53</v>
      </c>
      <c r="J6" s="108"/>
      <c r="K6" s="109"/>
      <c r="L6" s="109"/>
      <c r="M6" s="30"/>
    </row>
    <row r="7" spans="1:13" ht="12.75">
      <c r="A7" s="18" t="s">
        <v>18</v>
      </c>
      <c r="B7" s="29">
        <v>0.5208333333333334</v>
      </c>
      <c r="G7"/>
      <c r="H7" s="9"/>
      <c r="I7" s="107" t="s">
        <v>53</v>
      </c>
      <c r="J7" s="108"/>
      <c r="K7" s="109"/>
      <c r="L7" s="109"/>
      <c r="M7" s="30"/>
    </row>
    <row r="8" spans="1:13" ht="12.75" customHeight="1">
      <c r="A8" t="s">
        <v>19</v>
      </c>
      <c r="B8" s="26">
        <v>6</v>
      </c>
      <c r="C8" s="272" t="str">
        <f>$A$31&amp;" "&amp;$B$31</f>
        <v> </v>
      </c>
      <c r="D8" s="273"/>
      <c r="E8" s="273"/>
      <c r="F8" s="274"/>
      <c r="G8" s="32"/>
      <c r="H8" s="9"/>
      <c r="I8" s="107" t="s">
        <v>53</v>
      </c>
      <c r="J8" s="108"/>
      <c r="K8" s="109"/>
      <c r="L8" s="109"/>
      <c r="M8" s="30"/>
    </row>
    <row r="9" spans="1:13" ht="12.75" customHeight="1">
      <c r="A9" t="s">
        <v>26</v>
      </c>
      <c r="B9" s="26"/>
      <c r="C9" s="275"/>
      <c r="D9" s="276"/>
      <c r="E9" s="276"/>
      <c r="F9" s="277"/>
      <c r="G9" s="37" t="s">
        <v>27</v>
      </c>
      <c r="H9" s="110"/>
      <c r="I9" s="107" t="s">
        <v>53</v>
      </c>
      <c r="J9" s="108"/>
      <c r="K9" s="109"/>
      <c r="L9" s="109"/>
      <c r="M9" s="30"/>
    </row>
    <row r="10" spans="1:13" ht="12.75">
      <c r="A10" t="s">
        <v>35</v>
      </c>
      <c r="B10" s="45"/>
      <c r="C10" s="32"/>
      <c r="D10" s="5"/>
      <c r="E10" s="5"/>
      <c r="F10" s="46"/>
      <c r="G10" s="32" t="s">
        <v>59</v>
      </c>
      <c r="H10" s="110"/>
      <c r="I10" s="107" t="s">
        <v>53</v>
      </c>
      <c r="J10" s="108"/>
      <c r="K10" s="109"/>
      <c r="L10" s="109"/>
      <c r="M10" s="30"/>
    </row>
    <row r="11" spans="2:13" ht="12.75">
      <c r="B11" s="3" t="s">
        <v>37</v>
      </c>
      <c r="C11" s="40"/>
      <c r="D11" s="10"/>
      <c r="E11" s="10"/>
      <c r="F11" s="50"/>
      <c r="G11" s="40" t="s">
        <v>61</v>
      </c>
      <c r="H11" s="110"/>
      <c r="I11" s="107" t="s">
        <v>53</v>
      </c>
      <c r="J11" s="108"/>
      <c r="K11" s="109"/>
      <c r="L11" s="109"/>
      <c r="M11" s="30"/>
    </row>
    <row r="12" spans="2:13" ht="12.75">
      <c r="B12" s="3" t="s">
        <v>38</v>
      </c>
      <c r="C12" s="57"/>
      <c r="D12" s="58"/>
      <c r="E12" s="14"/>
      <c r="F12" s="39"/>
      <c r="G12" s="57" t="s">
        <v>60</v>
      </c>
      <c r="H12" s="110"/>
      <c r="I12" s="107" t="s">
        <v>53</v>
      </c>
      <c r="J12" s="108"/>
      <c r="K12" s="109"/>
      <c r="L12" s="109"/>
      <c r="M12" s="30"/>
    </row>
    <row r="13" spans="1:7" s="3" customFormat="1" ht="12.75">
      <c r="A13" s="111" t="s">
        <v>54</v>
      </c>
      <c r="B13" s="111" t="s">
        <v>54</v>
      </c>
      <c r="C13" s="111" t="s">
        <v>54</v>
      </c>
      <c r="D13" s="111" t="s">
        <v>54</v>
      </c>
      <c r="E13" s="111" t="s">
        <v>54</v>
      </c>
      <c r="F13" s="111" t="s">
        <v>54</v>
      </c>
      <c r="G13" s="111" t="s">
        <v>54</v>
      </c>
    </row>
    <row r="14" spans="4:7" s="3" customFormat="1" ht="12.75">
      <c r="D14" s="3" t="s">
        <v>55</v>
      </c>
      <c r="G14" s="112"/>
    </row>
    <row r="15" s="3" customFormat="1" ht="13.5" thickBot="1">
      <c r="G15" s="112"/>
    </row>
    <row r="16" spans="1:21" ht="12.75" customHeight="1">
      <c r="A16" s="31"/>
      <c r="B16" s="30"/>
      <c r="C16" s="260" t="str">
        <f>$B$1&amp;" "&amp;$B$2</f>
        <v>Women A</v>
      </c>
      <c r="D16" s="261"/>
      <c r="E16" s="261"/>
      <c r="F16" s="262"/>
      <c r="H16" s="291" t="str">
        <f>C25</f>
        <v>U1</v>
      </c>
      <c r="I16" s="291"/>
      <c r="J16" s="291" t="str">
        <f>C26</f>
        <v>U2</v>
      </c>
      <c r="K16" s="291"/>
      <c r="L16" s="291" t="str">
        <f>C27</f>
        <v>U3</v>
      </c>
      <c r="M16" s="291"/>
      <c r="N16" s="41"/>
      <c r="O16" s="41"/>
      <c r="P16" s="41"/>
      <c r="R16" s="71"/>
      <c r="S16" s="17" t="str">
        <f>$A$5&amp;":"</f>
        <v>Venue:</v>
      </c>
      <c r="T16" s="5" t="str">
        <f>$B$5</f>
        <v>Olympos</v>
      </c>
      <c r="U16" s="6"/>
    </row>
    <row r="17" spans="1:21" ht="12.75" customHeight="1">
      <c r="A17" s="31"/>
      <c r="B17" s="31"/>
      <c r="C17" s="263"/>
      <c r="D17" s="264"/>
      <c r="E17" s="264"/>
      <c r="F17" s="265"/>
      <c r="H17" s="291"/>
      <c r="I17" s="291"/>
      <c r="J17" s="291"/>
      <c r="K17" s="291"/>
      <c r="L17" s="291"/>
      <c r="M17" s="291"/>
      <c r="N17" s="41"/>
      <c r="O17" s="41"/>
      <c r="P17" s="41"/>
      <c r="R17" s="97"/>
      <c r="S17" s="19" t="str">
        <f>$A$6&amp;":"</f>
        <v>Court:</v>
      </c>
      <c r="T17" s="114">
        <f>$B$6</f>
        <v>4</v>
      </c>
      <c r="U17" s="11"/>
    </row>
    <row r="18" spans="1:21" ht="12.75" customHeight="1">
      <c r="A18" s="31"/>
      <c r="B18" s="31"/>
      <c r="C18" s="263"/>
      <c r="D18" s="264"/>
      <c r="E18" s="264"/>
      <c r="F18" s="265"/>
      <c r="G18" s="115"/>
      <c r="H18" s="291"/>
      <c r="I18" s="291"/>
      <c r="J18" s="291"/>
      <c r="K18" s="291"/>
      <c r="L18" s="291"/>
      <c r="M18" s="291"/>
      <c r="N18" s="41"/>
      <c r="O18" s="41"/>
      <c r="P18" s="41"/>
      <c r="R18" s="73"/>
      <c r="S18" s="58" t="str">
        <f>$A$7&amp;":"</f>
        <v>Time:</v>
      </c>
      <c r="T18" s="116">
        <f>$B$7</f>
        <v>0.5208333333333334</v>
      </c>
      <c r="U18" s="15"/>
    </row>
    <row r="19" spans="1:20" ht="12.75" customHeight="1">
      <c r="A19" s="31"/>
      <c r="B19" s="31"/>
      <c r="C19" s="263"/>
      <c r="D19" s="264"/>
      <c r="E19" s="264"/>
      <c r="F19" s="265"/>
      <c r="G19" s="117"/>
      <c r="H19" s="291"/>
      <c r="I19" s="291"/>
      <c r="J19" s="291"/>
      <c r="K19" s="291"/>
      <c r="L19" s="291"/>
      <c r="M19" s="291"/>
      <c r="N19" s="41"/>
      <c r="O19" s="41"/>
      <c r="P19" s="41"/>
      <c r="R19" s="41"/>
      <c r="S19" s="41"/>
      <c r="T19" s="41"/>
    </row>
    <row r="20" spans="1:20" ht="12.75" customHeight="1" thickBot="1">
      <c r="A20" s="31"/>
      <c r="B20" s="118"/>
      <c r="C20" s="285"/>
      <c r="D20" s="286"/>
      <c r="E20" s="286"/>
      <c r="F20" s="287"/>
      <c r="H20" s="291"/>
      <c r="I20" s="291"/>
      <c r="J20" s="291"/>
      <c r="K20" s="291"/>
      <c r="L20" s="291"/>
      <c r="M20" s="291"/>
      <c r="N20" s="41"/>
      <c r="O20" s="41"/>
      <c r="P20" s="41"/>
      <c r="R20" s="41"/>
      <c r="S20" s="41"/>
      <c r="T20" s="41"/>
    </row>
    <row r="21" spans="1:20" ht="126.75" customHeight="1">
      <c r="A21" s="31"/>
      <c r="B21" s="118"/>
      <c r="C21" s="28"/>
      <c r="D21" s="28"/>
      <c r="E21" s="28"/>
      <c r="F21" s="28"/>
      <c r="H21" s="291"/>
      <c r="I21" s="291"/>
      <c r="J21" s="291"/>
      <c r="K21" s="291"/>
      <c r="L21" s="291"/>
      <c r="M21" s="291"/>
      <c r="N21" s="41"/>
      <c r="O21" s="41"/>
      <c r="P21" s="41"/>
      <c r="R21" s="41"/>
      <c r="S21" s="41"/>
      <c r="T21" s="41"/>
    </row>
    <row r="22" spans="1:20" ht="13.5" thickBot="1">
      <c r="A22" s="31"/>
      <c r="B22" s="119"/>
      <c r="H22" s="291"/>
      <c r="I22" s="291"/>
      <c r="J22" s="291"/>
      <c r="K22" s="291"/>
      <c r="L22" s="291"/>
      <c r="M22" s="291"/>
      <c r="N22" s="41"/>
      <c r="O22" s="41"/>
      <c r="P22" s="41"/>
      <c r="R22" s="41"/>
      <c r="S22" s="41"/>
      <c r="T22" s="41"/>
    </row>
    <row r="23" spans="1:21" ht="12.75" customHeight="1">
      <c r="A23" s="31"/>
      <c r="B23" s="118"/>
      <c r="C23" s="272" t="str">
        <f>$A$3&amp;" "&amp;$B$3</f>
        <v>Group FA</v>
      </c>
      <c r="D23" s="273"/>
      <c r="E23" s="273"/>
      <c r="F23" s="273"/>
      <c r="G23" s="283"/>
      <c r="H23" s="292"/>
      <c r="I23" s="291"/>
      <c r="J23" s="291"/>
      <c r="K23" s="291"/>
      <c r="L23" s="291"/>
      <c r="M23" s="291"/>
      <c r="N23" s="288" t="s">
        <v>56</v>
      </c>
      <c r="O23" s="289"/>
      <c r="P23" s="289"/>
      <c r="Q23" s="290"/>
      <c r="R23" s="288" t="s">
        <v>57</v>
      </c>
      <c r="S23" s="289"/>
      <c r="T23" s="289"/>
      <c r="U23" s="290"/>
    </row>
    <row r="24" spans="1:21" ht="12.75" customHeight="1">
      <c r="A24" s="31"/>
      <c r="B24" s="118"/>
      <c r="C24" s="275"/>
      <c r="D24" s="276"/>
      <c r="E24" s="276"/>
      <c r="F24" s="276"/>
      <c r="G24" s="284"/>
      <c r="H24" s="292"/>
      <c r="I24" s="291"/>
      <c r="J24" s="297"/>
      <c r="K24" s="297"/>
      <c r="L24" s="291"/>
      <c r="M24" s="291"/>
      <c r="N24" s="120" t="s">
        <v>30</v>
      </c>
      <c r="O24" s="121" t="s">
        <v>58</v>
      </c>
      <c r="P24" s="121" t="s">
        <v>31</v>
      </c>
      <c r="Q24" s="122" t="s">
        <v>32</v>
      </c>
      <c r="R24" s="120" t="s">
        <v>30</v>
      </c>
      <c r="S24" s="121" t="s">
        <v>58</v>
      </c>
      <c r="T24" s="121" t="s">
        <v>31</v>
      </c>
      <c r="U24" s="122" t="s">
        <v>32</v>
      </c>
    </row>
    <row r="25" spans="1:21" ht="75" customHeight="1">
      <c r="A25" s="31"/>
      <c r="B25" s="118"/>
      <c r="C25" s="298" t="str">
        <f>G10</f>
        <v>U1</v>
      </c>
      <c r="D25" s="299"/>
      <c r="E25" s="299"/>
      <c r="F25" s="299"/>
      <c r="G25" s="300"/>
      <c r="H25" s="282"/>
      <c r="I25" s="282"/>
      <c r="J25" s="123"/>
      <c r="K25" s="124"/>
      <c r="L25" s="123"/>
      <c r="M25" s="124"/>
      <c r="N25" s="125"/>
      <c r="O25" s="126"/>
      <c r="P25" s="127"/>
      <c r="Q25" s="128"/>
      <c r="R25" s="125"/>
      <c r="S25" s="126"/>
      <c r="T25" s="127"/>
      <c r="U25" s="128"/>
    </row>
    <row r="26" spans="1:21" ht="75" customHeight="1">
      <c r="A26" s="31"/>
      <c r="B26" s="31"/>
      <c r="C26" s="298" t="str">
        <f>G11</f>
        <v>U2</v>
      </c>
      <c r="D26" s="299"/>
      <c r="E26" s="299"/>
      <c r="F26" s="299"/>
      <c r="G26" s="300"/>
      <c r="H26" s="129"/>
      <c r="I26" s="124"/>
      <c r="J26" s="293"/>
      <c r="K26" s="294"/>
      <c r="L26" s="123"/>
      <c r="M26" s="124"/>
      <c r="N26" s="130"/>
      <c r="O26" s="126"/>
      <c r="P26" s="131"/>
      <c r="Q26" s="128"/>
      <c r="R26" s="130"/>
      <c r="S26" s="126"/>
      <c r="T26" s="131"/>
      <c r="U26" s="128"/>
    </row>
    <row r="27" spans="1:21" ht="75" customHeight="1" thickBot="1">
      <c r="A27" s="31"/>
      <c r="B27" s="30"/>
      <c r="C27" s="298" t="str">
        <f>G12</f>
        <v>U3</v>
      </c>
      <c r="D27" s="299"/>
      <c r="E27" s="299"/>
      <c r="F27" s="299"/>
      <c r="G27" s="300"/>
      <c r="H27" s="129"/>
      <c r="I27" s="124"/>
      <c r="J27" s="123"/>
      <c r="K27" s="124"/>
      <c r="L27" s="295"/>
      <c r="M27" s="296"/>
      <c r="N27" s="132"/>
      <c r="O27" s="133"/>
      <c r="P27" s="134"/>
      <c r="Q27" s="135"/>
      <c r="R27" s="132"/>
      <c r="S27" s="133"/>
      <c r="T27" s="134"/>
      <c r="U27" s="135"/>
    </row>
    <row r="28" spans="1:2" ht="12.75">
      <c r="A28" s="31"/>
      <c r="B28" s="31"/>
    </row>
    <row r="29" spans="1:2" ht="12.75" customHeight="1">
      <c r="A29" s="31"/>
      <c r="B29" s="118"/>
    </row>
    <row r="30" spans="1:2" ht="12.75" customHeight="1">
      <c r="A30" s="31"/>
      <c r="B30" s="118"/>
    </row>
    <row r="31" spans="1:2" ht="12.75">
      <c r="A31" s="31"/>
      <c r="B31" s="119"/>
    </row>
    <row r="32" spans="1:2" ht="12.75">
      <c r="A32" s="31"/>
      <c r="B32" s="118"/>
    </row>
    <row r="33" spans="1:2" ht="12.75">
      <c r="A33" s="31"/>
      <c r="B33" s="118"/>
    </row>
    <row r="34" spans="1:2" ht="75" customHeight="1">
      <c r="A34" s="31"/>
      <c r="B34" s="118"/>
    </row>
    <row r="35" spans="1:2" ht="75" customHeight="1">
      <c r="A35" s="31"/>
      <c r="B35" s="31"/>
    </row>
    <row r="36" spans="1:2" ht="75" customHeight="1">
      <c r="A36" s="31"/>
      <c r="B36" s="30"/>
    </row>
    <row r="37" spans="1:2" ht="75" customHeight="1">
      <c r="A37" s="31"/>
      <c r="B37" s="30"/>
    </row>
    <row r="38" spans="1:2" ht="75" customHeight="1">
      <c r="A38" s="31"/>
      <c r="B38" s="30"/>
    </row>
    <row r="39" spans="1:2" ht="75" customHeight="1">
      <c r="A39" s="31"/>
      <c r="B39" s="30"/>
    </row>
  </sheetData>
  <mergeCells count="17">
    <mergeCell ref="H25:I25"/>
    <mergeCell ref="G23:G24"/>
    <mergeCell ref="C16:F20"/>
    <mergeCell ref="N23:Q23"/>
    <mergeCell ref="R23:U23"/>
    <mergeCell ref="C1:F3"/>
    <mergeCell ref="C4:F5"/>
    <mergeCell ref="H16:I24"/>
    <mergeCell ref="J26:K26"/>
    <mergeCell ref="L27:M27"/>
    <mergeCell ref="J16:K24"/>
    <mergeCell ref="L16:M24"/>
    <mergeCell ref="C26:G26"/>
    <mergeCell ref="C27:G27"/>
    <mergeCell ref="C8:F9"/>
    <mergeCell ref="C23:F24"/>
    <mergeCell ref="C25:G25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portrait" pageOrder="overThenDown" paperSize="9" scale="77" r:id="rId1"/>
  <headerFooter alignWithMargins="0">
    <oddHeader>&amp;L&amp;A&amp;RSaturday, June 18 2005</oddHeader>
    <oddFooter>&amp;L&amp;F&amp;R&amp;P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M48"/>
  <sheetViews>
    <sheetView zoomScale="75" zoomScaleNormal="75" workbookViewId="0" topLeftCell="A1">
      <selection activeCell="C15" sqref="C15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11</v>
      </c>
      <c r="C4" s="260" t="str">
        <f>$B$4&amp;" "&amp;$B$5</f>
        <v>Women B</v>
      </c>
      <c r="D4" s="261"/>
      <c r="E4" s="261"/>
      <c r="F4" s="262"/>
      <c r="G4" s="5"/>
      <c r="H4" s="17" t="str">
        <f>$A$8&amp;":"</f>
        <v>Venue:</v>
      </c>
      <c r="I4" s="6" t="str">
        <f>$B$8</f>
        <v>Olympos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67</v>
      </c>
      <c r="C5" s="263"/>
      <c r="D5" s="264"/>
      <c r="E5" s="264"/>
      <c r="F5" s="265"/>
      <c r="G5" s="10"/>
      <c r="H5" s="19" t="str">
        <f>$A$9&amp;":"</f>
        <v>Court:</v>
      </c>
      <c r="I5" s="20">
        <f>$B$9</f>
        <v>5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68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0.4305555555555556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">
        <v>84</v>
      </c>
      <c r="D7" s="267"/>
      <c r="E7" s="267"/>
      <c r="F7" s="268"/>
      <c r="G7" s="140"/>
      <c r="H7" s="25" t="str">
        <f>"Each match (except finals) consists of 2 sets of at most "&amp;$B$13&amp;" points."</f>
        <v>Each match (except finals)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15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5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0.4305555555555556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3</v>
      </c>
      <c r="C11" s="272" t="str">
        <f>$A$6&amp;" "&amp;$B$6</f>
        <v>Group FX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168</v>
      </c>
      <c r="H13" s="5" t="s">
        <v>169</v>
      </c>
      <c r="I13" s="6" t="s">
        <v>123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170</v>
      </c>
      <c r="H14" s="10" t="s">
        <v>163</v>
      </c>
      <c r="I14" s="11" t="s">
        <v>120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171</v>
      </c>
      <c r="H15" s="10" t="s">
        <v>172</v>
      </c>
      <c r="I15" s="11" t="s">
        <v>173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3:21" ht="12.75">
      <c r="C16" s="57"/>
      <c r="D16" s="58"/>
      <c r="E16" s="14"/>
      <c r="F16" s="39"/>
      <c r="G16" s="57" t="s">
        <v>174</v>
      </c>
      <c r="H16" s="14" t="s">
        <v>175</v>
      </c>
      <c r="I16" s="15" t="s">
        <v>123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3:39" s="65" customFormat="1" ht="12.75">
      <c r="C17" s="19"/>
      <c r="D17" s="66"/>
      <c r="E17" s="66"/>
      <c r="F17" s="67"/>
      <c r="G17" s="68"/>
      <c r="H17" s="66"/>
      <c r="I17" s="66"/>
      <c r="J17" s="69"/>
      <c r="K17" s="69"/>
      <c r="L17" s="69"/>
      <c r="M17" s="69"/>
      <c r="N17" s="69"/>
      <c r="O17" s="69"/>
      <c r="P17" s="69"/>
      <c r="Q17" s="19"/>
      <c r="AA17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3:39" s="65" customFormat="1" ht="12.75">
      <c r="C18" s="19"/>
      <c r="D18" s="66"/>
      <c r="E18" s="66"/>
      <c r="F18" s="67"/>
      <c r="G18" s="68"/>
      <c r="H18" s="66"/>
      <c r="I18" s="66"/>
      <c r="J18" s="69"/>
      <c r="K18" s="69"/>
      <c r="L18" s="69"/>
      <c r="M18" s="69"/>
      <c r="N18" s="69"/>
      <c r="O18" s="69"/>
      <c r="P18" s="69"/>
      <c r="Q18" s="1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3:35" ht="12.75">
      <c r="C19" s="32"/>
      <c r="D19" s="5"/>
      <c r="E19" s="5"/>
      <c r="F19" s="5"/>
      <c r="G19" s="5"/>
      <c r="H19" s="5"/>
      <c r="I19" s="6"/>
      <c r="J19" s="249" t="s">
        <v>39</v>
      </c>
      <c r="K19" s="250"/>
      <c r="L19" s="249" t="s">
        <v>40</v>
      </c>
      <c r="M19" s="250"/>
      <c r="N19" s="249" t="s">
        <v>78</v>
      </c>
      <c r="O19" s="250"/>
      <c r="P19" s="249" t="s">
        <v>31</v>
      </c>
      <c r="Q19" s="250"/>
      <c r="R19" s="32"/>
      <c r="S19" s="6"/>
      <c r="T19" s="249" t="s">
        <v>39</v>
      </c>
      <c r="U19" s="250"/>
      <c r="V19" s="249" t="s">
        <v>40</v>
      </c>
      <c r="W19" s="250"/>
      <c r="X19" s="249" t="s">
        <v>24</v>
      </c>
      <c r="Y19" s="250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3:25" ht="12.75">
      <c r="C20" s="73" t="s">
        <v>18</v>
      </c>
      <c r="D20" s="74" t="s">
        <v>43</v>
      </c>
      <c r="E20" s="74" t="s">
        <v>17</v>
      </c>
      <c r="F20" s="75" t="s">
        <v>44</v>
      </c>
      <c r="G20" s="76" t="s">
        <v>45</v>
      </c>
      <c r="H20" s="77" t="s">
        <v>46</v>
      </c>
      <c r="I20" s="78" t="s">
        <v>47</v>
      </c>
      <c r="J20" s="79" t="s">
        <v>48</v>
      </c>
      <c r="K20" s="80" t="s">
        <v>49</v>
      </c>
      <c r="L20" s="79" t="s">
        <v>48</v>
      </c>
      <c r="M20" s="80" t="s">
        <v>49</v>
      </c>
      <c r="N20" s="79" t="s">
        <v>48</v>
      </c>
      <c r="O20" s="80" t="s">
        <v>49</v>
      </c>
      <c r="P20" s="81" t="s">
        <v>48</v>
      </c>
      <c r="Q20" s="82" t="s">
        <v>49</v>
      </c>
      <c r="R20" s="57" t="s">
        <v>79</v>
      </c>
      <c r="S20" s="15" t="s">
        <v>80</v>
      </c>
      <c r="T20" s="79" t="s">
        <v>48</v>
      </c>
      <c r="U20" s="80" t="s">
        <v>49</v>
      </c>
      <c r="V20" s="79" t="s">
        <v>48</v>
      </c>
      <c r="W20" s="80" t="s">
        <v>49</v>
      </c>
      <c r="X20" s="79" t="s">
        <v>48</v>
      </c>
      <c r="Y20" s="80" t="s">
        <v>49</v>
      </c>
    </row>
    <row r="21" spans="3:25" ht="12.75">
      <c r="C21" s="71"/>
      <c r="D21" s="25"/>
      <c r="E21" s="25"/>
      <c r="F21" s="25"/>
      <c r="G21" s="5"/>
      <c r="H21" s="5"/>
      <c r="I21" s="6"/>
      <c r="J21" s="71"/>
      <c r="K21" s="72"/>
      <c r="L21" s="71"/>
      <c r="M21" s="72"/>
      <c r="N21" s="83"/>
      <c r="O21" s="17"/>
      <c r="P21" s="71"/>
      <c r="Q21" s="72"/>
      <c r="R21" s="32"/>
      <c r="S21" s="6"/>
      <c r="T21" s="32"/>
      <c r="U21" s="6"/>
      <c r="V21" s="32"/>
      <c r="W21" s="6"/>
      <c r="X21" s="40"/>
      <c r="Y21" s="11"/>
    </row>
    <row r="22" spans="3:25" ht="12.75">
      <c r="C22" s="84">
        <f>$B$10+(D22-$B$11)*($B$12/60/24+TIME(0,5,0))</f>
        <v>0.4305555555555556</v>
      </c>
      <c r="D22" s="85">
        <f>$B$11</f>
        <v>3</v>
      </c>
      <c r="E22" s="85">
        <f>$B$9</f>
        <v>5</v>
      </c>
      <c r="F22" s="85">
        <f>$E22+$D22*100</f>
        <v>305</v>
      </c>
      <c r="G22" s="86" t="str">
        <f>G13</f>
        <v>Artemis</v>
      </c>
      <c r="H22" s="86" t="str">
        <f>G16</f>
        <v>Elfen</v>
      </c>
      <c r="I22" s="87" t="str">
        <f>G15</f>
        <v>Absolutely Elfriede</v>
      </c>
      <c r="J22" s="88"/>
      <c r="K22" s="87"/>
      <c r="L22" s="88"/>
      <c r="M22" s="87"/>
      <c r="N22" s="188">
        <f>SUM(J22,L22)</f>
        <v>0</v>
      </c>
      <c r="O22" s="189">
        <f>SUM(K22,M22)</f>
        <v>0</v>
      </c>
      <c r="P22" s="190">
        <f>SUM(T22,V22)</f>
        <v>2</v>
      </c>
      <c r="Q22" s="191">
        <f>SUM(U22,W22)</f>
        <v>2</v>
      </c>
      <c r="R22" s="40" t="str">
        <f>IF(P22&gt;Q22,G22,IF(P22&lt;Q22,H22,IF(N22&gt;O22,G22,IF(N22&lt;O22,H22,IF(X22&gt;Y22,G22,IF(X22&lt;Y22,H22,"W"&amp;F22&amp;" (no. 1 - 2)"))))))</f>
        <v>W305 (no. 1 - 2)</v>
      </c>
      <c r="S22" s="11" t="str">
        <f>IF(P22&gt;Q22,H22,IF(P22&lt;Q22,G22,IF(N22&gt;O22,H22,IF(N22&lt;O22,G22,IF(X22&gt;Y22,H22,IF(X22&lt;Y22,G22,"L"&amp;F22&amp;" (no. 3 - 4)"))))))</f>
        <v>L305 (no. 3 - 4)</v>
      </c>
      <c r="T22" s="51">
        <f>IF(J22&gt;K22,2,IF(J22=K22,1,0))</f>
        <v>1</v>
      </c>
      <c r="U22" s="53">
        <f>IF(K22&gt;J22,2,IF(K22=J22,1,0))</f>
        <v>1</v>
      </c>
      <c r="V22" s="51">
        <f>IF(L22&gt;M22,2,IF(L22=M22,1,0))</f>
        <v>1</v>
      </c>
      <c r="W22" s="53">
        <f>IF(M22&gt;L22,2,IF(M22=L22,1,0))</f>
        <v>1</v>
      </c>
      <c r="X22" s="40"/>
      <c r="Y22" s="11"/>
    </row>
    <row r="23" spans="2:25" ht="12.75">
      <c r="B23" s="31"/>
      <c r="C23" s="84"/>
      <c r="D23" s="85"/>
      <c r="E23" s="85"/>
      <c r="F23" s="85"/>
      <c r="G23" s="30"/>
      <c r="H23" s="30"/>
      <c r="I23" s="87"/>
      <c r="J23" s="92"/>
      <c r="K23" s="93"/>
      <c r="L23" s="92"/>
      <c r="M23" s="93"/>
      <c r="N23" s="188"/>
      <c r="O23" s="189"/>
      <c r="P23" s="190"/>
      <c r="Q23" s="191"/>
      <c r="R23" s="40"/>
      <c r="S23" s="11"/>
      <c r="T23" s="51"/>
      <c r="U23" s="53"/>
      <c r="V23" s="51"/>
      <c r="W23" s="53"/>
      <c r="X23" s="40"/>
      <c r="Y23" s="11"/>
    </row>
    <row r="24" spans="2:25" ht="12.75">
      <c r="B24" s="31"/>
      <c r="C24" s="84">
        <f>$B$10+(D24-$B$11)*($B$12/60/24+TIME(0,5,0))</f>
        <v>0.45833333333333337</v>
      </c>
      <c r="D24" s="145">
        <f>$B$11+1</f>
        <v>4</v>
      </c>
      <c r="E24" s="85">
        <f>$B$9</f>
        <v>5</v>
      </c>
      <c r="F24" s="85">
        <f>$E24+$D24*100</f>
        <v>405</v>
      </c>
      <c r="G24" s="30" t="str">
        <f>G15</f>
        <v>Absolutely Elfriede</v>
      </c>
      <c r="H24" s="30" t="str">
        <f>G14</f>
        <v>Goud Dames 1</v>
      </c>
      <c r="I24" s="87" t="str">
        <f>G13</f>
        <v>Artemis</v>
      </c>
      <c r="J24" s="92"/>
      <c r="K24" s="93"/>
      <c r="L24" s="92"/>
      <c r="M24" s="93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1 - 2)"))))))</f>
        <v>W405 (no. 1 - 2)</v>
      </c>
      <c r="S24" s="11" t="str">
        <f>IF(P24&gt;Q24,H24,IF(P24&lt;Q24,G24,IF(N24&gt;O24,H24,IF(N24&lt;O24,G24,IF(X24&gt;Y24,H24,IF(X24&lt;Y24,G24,"L"&amp;F24&amp;" (no. 3 - 4)"))))))</f>
        <v>L405 (no. 3 - 4)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2:25" ht="12.75">
      <c r="B25" s="31"/>
      <c r="C25" s="84"/>
      <c r="D25" s="145"/>
      <c r="E25" s="85"/>
      <c r="F25" s="85"/>
      <c r="G25" s="30"/>
      <c r="H25" s="30"/>
      <c r="I25" s="87"/>
      <c r="J25" s="92"/>
      <c r="K25" s="93"/>
      <c r="L25" s="92"/>
      <c r="M25" s="93"/>
      <c r="N25" s="89"/>
      <c r="O25" s="90"/>
      <c r="P25" s="99"/>
      <c r="Q25" s="100"/>
      <c r="R25" s="40"/>
      <c r="S25" s="11"/>
      <c r="T25" s="51"/>
      <c r="U25" s="53"/>
      <c r="V25" s="51"/>
      <c r="W25" s="53"/>
      <c r="X25" s="40"/>
      <c r="Y25" s="11"/>
    </row>
    <row r="26" spans="2:25" ht="12.75">
      <c r="B26" s="31"/>
      <c r="C26" s="84">
        <f>$B$10+(D26-$B$11)*($B$12/60/24+TIME(0,5,0))</f>
        <v>0.48611111111111116</v>
      </c>
      <c r="D26" s="242">
        <f>$B$11+2</f>
        <v>5</v>
      </c>
      <c r="E26" s="102"/>
      <c r="F26" s="258" t="s">
        <v>98</v>
      </c>
      <c r="G26" s="258"/>
      <c r="H26" s="258"/>
      <c r="I26" s="259"/>
      <c r="J26" s="92"/>
      <c r="K26" s="93"/>
      <c r="L26" s="92"/>
      <c r="M26" s="93"/>
      <c r="N26" s="89"/>
      <c r="O26" s="90"/>
      <c r="P26" s="99"/>
      <c r="Q26" s="100"/>
      <c r="R26" s="40"/>
      <c r="S26" s="11"/>
      <c r="T26" s="51"/>
      <c r="U26" s="53"/>
      <c r="V26" s="51"/>
      <c r="W26" s="53"/>
      <c r="X26" s="40"/>
      <c r="Y26" s="11"/>
    </row>
    <row r="27" spans="2:25" ht="12.75">
      <c r="B27" s="31"/>
      <c r="C27" s="84"/>
      <c r="D27" s="145"/>
      <c r="E27" s="102"/>
      <c r="F27" s="258" t="s">
        <v>97</v>
      </c>
      <c r="G27" s="258"/>
      <c r="H27" s="258"/>
      <c r="I27" s="259"/>
      <c r="J27" s="92"/>
      <c r="K27" s="93"/>
      <c r="L27" s="92"/>
      <c r="M27" s="93"/>
      <c r="N27" s="89"/>
      <c r="O27" s="90"/>
      <c r="P27" s="99"/>
      <c r="Q27" s="100"/>
      <c r="R27" s="40"/>
      <c r="S27" s="11"/>
      <c r="T27" s="51"/>
      <c r="U27" s="53"/>
      <c r="V27" s="51"/>
      <c r="W27" s="53"/>
      <c r="X27" s="40"/>
      <c r="Y27" s="11"/>
    </row>
    <row r="28" spans="2:25" ht="12.75">
      <c r="B28" s="31"/>
      <c r="C28" s="84"/>
      <c r="D28" s="85"/>
      <c r="E28" s="85"/>
      <c r="F28" s="85"/>
      <c r="G28" s="30"/>
      <c r="H28" s="30"/>
      <c r="I28" s="87"/>
      <c r="J28" s="92"/>
      <c r="K28" s="93"/>
      <c r="L28" s="92"/>
      <c r="M28" s="93"/>
      <c r="N28" s="89"/>
      <c r="O28" s="90"/>
      <c r="P28" s="99"/>
      <c r="Q28" s="100"/>
      <c r="R28" s="57"/>
      <c r="S28" s="15"/>
      <c r="T28" s="99"/>
      <c r="U28" s="100"/>
      <c r="V28" s="99"/>
      <c r="W28" s="100"/>
      <c r="X28" s="57"/>
      <c r="Y28" s="15"/>
    </row>
    <row r="29" spans="3:39" ht="12.75">
      <c r="C29" s="32"/>
      <c r="D29" s="5"/>
      <c r="E29" s="5"/>
      <c r="F29" s="5"/>
      <c r="G29" s="5"/>
      <c r="H29" s="5"/>
      <c r="I29" s="6"/>
      <c r="J29" s="249" t="s">
        <v>39</v>
      </c>
      <c r="K29" s="250"/>
      <c r="L29" s="249" t="s">
        <v>40</v>
      </c>
      <c r="M29" s="250"/>
      <c r="N29" s="249" t="s">
        <v>41</v>
      </c>
      <c r="O29" s="250"/>
      <c r="P29" s="249" t="s">
        <v>31</v>
      </c>
      <c r="Q29" s="250"/>
      <c r="R29" s="32"/>
      <c r="S29" s="6"/>
      <c r="T29" s="249" t="s">
        <v>39</v>
      </c>
      <c r="U29" s="250"/>
      <c r="V29" s="249" t="s">
        <v>40</v>
      </c>
      <c r="W29" s="250"/>
      <c r="X29" s="249" t="s">
        <v>41</v>
      </c>
      <c r="Y29" s="250"/>
      <c r="Z29" s="249" t="s">
        <v>42</v>
      </c>
      <c r="AA29" s="250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2:27" ht="12.75">
      <c r="B30" s="31"/>
      <c r="C30" s="73" t="s">
        <v>18</v>
      </c>
      <c r="D30" s="74" t="s">
        <v>43</v>
      </c>
      <c r="E30" s="74" t="s">
        <v>17</v>
      </c>
      <c r="F30" s="75" t="s">
        <v>44</v>
      </c>
      <c r="G30" s="76" t="s">
        <v>45</v>
      </c>
      <c r="H30" s="77" t="s">
        <v>46</v>
      </c>
      <c r="I30" s="78" t="s">
        <v>47</v>
      </c>
      <c r="J30" s="79" t="s">
        <v>48</v>
      </c>
      <c r="K30" s="80" t="s">
        <v>49</v>
      </c>
      <c r="L30" s="79" t="s">
        <v>48</v>
      </c>
      <c r="M30" s="80" t="s">
        <v>49</v>
      </c>
      <c r="N30" s="79" t="s">
        <v>48</v>
      </c>
      <c r="O30" s="80" t="s">
        <v>49</v>
      </c>
      <c r="P30" s="79" t="s">
        <v>48</v>
      </c>
      <c r="Q30" s="80" t="s">
        <v>49</v>
      </c>
      <c r="R30" s="57" t="s">
        <v>79</v>
      </c>
      <c r="S30" s="15" t="s">
        <v>80</v>
      </c>
      <c r="T30" s="79" t="s">
        <v>48</v>
      </c>
      <c r="U30" s="80" t="s">
        <v>49</v>
      </c>
      <c r="V30" s="79" t="s">
        <v>48</v>
      </c>
      <c r="W30" s="80" t="s">
        <v>49</v>
      </c>
      <c r="X30" s="79" t="s">
        <v>48</v>
      </c>
      <c r="Y30" s="80" t="s">
        <v>49</v>
      </c>
      <c r="Z30" s="79" t="s">
        <v>48</v>
      </c>
      <c r="AA30" s="80" t="s">
        <v>49</v>
      </c>
    </row>
    <row r="31" spans="1:27" ht="12.75">
      <c r="A31" s="18" t="s">
        <v>70</v>
      </c>
      <c r="B31" s="18" t="s">
        <v>71</v>
      </c>
      <c r="C31" s="84"/>
      <c r="D31" s="85"/>
      <c r="E31" s="85"/>
      <c r="F31" s="85"/>
      <c r="G31" s="30"/>
      <c r="H31" s="30"/>
      <c r="I31" s="87"/>
      <c r="J31" s="92"/>
      <c r="K31" s="93"/>
      <c r="L31" s="92"/>
      <c r="M31" s="93"/>
      <c r="N31" s="89"/>
      <c r="O31" s="90"/>
      <c r="P31" s="99"/>
      <c r="Q31" s="100"/>
      <c r="R31" s="40"/>
      <c r="S31" s="11"/>
      <c r="T31" s="99"/>
      <c r="U31" s="100"/>
      <c r="V31" s="99"/>
      <c r="W31" s="100"/>
      <c r="X31" s="99"/>
      <c r="Y31" s="100"/>
      <c r="Z31" s="92"/>
      <c r="AA31" s="93"/>
    </row>
    <row r="32" spans="1:27" ht="12.75">
      <c r="A32" s="147">
        <v>0.5208333333333334</v>
      </c>
      <c r="B32" s="143">
        <v>5</v>
      </c>
      <c r="C32" s="153">
        <f>$A$32</f>
        <v>0.5208333333333334</v>
      </c>
      <c r="D32" s="145">
        <f>$B$11+3</f>
        <v>6</v>
      </c>
      <c r="E32" s="145">
        <f>$B$32</f>
        <v>5</v>
      </c>
      <c r="F32" s="145">
        <f>$E32+$D32*100</f>
        <v>605</v>
      </c>
      <c r="G32" s="148" t="str">
        <f>S24</f>
        <v>L405 (no. 3 - 4)</v>
      </c>
      <c r="H32" s="148" t="str">
        <f>S22</f>
        <v>L305 (no. 3 - 4)</v>
      </c>
      <c r="I32" s="149" t="str">
        <f>"Official / "&amp;R22</f>
        <v>Official / W305 (no. 1 - 2)</v>
      </c>
      <c r="J32" s="88"/>
      <c r="K32" s="87"/>
      <c r="L32" s="88"/>
      <c r="M32" s="87"/>
      <c r="N32" s="89">
        <f>IF(OR(T32+V32=2,U32+W32=2),"---","")</f>
      </c>
      <c r="O32" s="90">
        <f>IF(OR(T32+V32=2,U32+W32=2),"---","")</f>
      </c>
      <c r="P32" s="199">
        <f>IF(AND(Z32=2,AA32=0),3,Z32)</f>
        <v>0</v>
      </c>
      <c r="Q32" s="200">
        <f>IF(AND(AA32=2,Z32=0),3,AA32)</f>
        <v>0</v>
      </c>
      <c r="R32" s="40" t="str">
        <f>IF(P32&gt;Q32,G32,IF(P32&lt;Q32,H32,"W"&amp;F32&amp;" (no. 3)"))</f>
        <v>W605 (no. 3)</v>
      </c>
      <c r="S32" s="11" t="str">
        <f>IF(P32&gt;Q32,H32,IF(P32&lt;Q32,G32,"L"&amp;F32&amp;" (no. 4)"))</f>
        <v>L605 (no. 4)</v>
      </c>
      <c r="T32" s="51">
        <f>IF(J32&gt;K32,1,0)</f>
        <v>0</v>
      </c>
      <c r="U32" s="53">
        <f>IF(K32&gt;J32,1,0)</f>
        <v>0</v>
      </c>
      <c r="V32" s="51">
        <f>IF(L32&gt;M32,1,0)</f>
        <v>0</v>
      </c>
      <c r="W32" s="53">
        <f>IF(M32&gt;L32,1,0)</f>
        <v>0</v>
      </c>
      <c r="X32" s="51">
        <f>IF(N32&gt;O32,1,0)</f>
        <v>0</v>
      </c>
      <c r="Y32" s="53">
        <f>IF(O32&gt;N32,1,0)</f>
        <v>0</v>
      </c>
      <c r="Z32" s="54">
        <f>SUM(T32,V32,X32)</f>
        <v>0</v>
      </c>
      <c r="AA32" s="91">
        <f>SUM(U32,W32,Y32)</f>
        <v>0</v>
      </c>
    </row>
    <row r="33" spans="1:27" ht="24.75" customHeight="1">
      <c r="A33" s="147"/>
      <c r="B33" s="143"/>
      <c r="C33" s="153"/>
      <c r="D33" s="145"/>
      <c r="E33" s="234"/>
      <c r="F33" s="234"/>
      <c r="G33" s="237"/>
      <c r="H33" s="237"/>
      <c r="I33" s="149"/>
      <c r="J33" s="88"/>
      <c r="K33" s="87"/>
      <c r="L33" s="88"/>
      <c r="M33" s="87"/>
      <c r="N33" s="89"/>
      <c r="O33" s="90"/>
      <c r="P33" s="199"/>
      <c r="Q33" s="200"/>
      <c r="R33" s="40"/>
      <c r="S33" s="11"/>
      <c r="T33" s="51"/>
      <c r="U33" s="53"/>
      <c r="V33" s="51"/>
      <c r="W33" s="53"/>
      <c r="X33" s="51"/>
      <c r="Y33" s="53"/>
      <c r="Z33" s="54"/>
      <c r="AA33" s="91"/>
    </row>
    <row r="34" spans="1:27" ht="12.75">
      <c r="A34" s="143"/>
      <c r="B34" s="142"/>
      <c r="C34" s="84"/>
      <c r="D34" s="145"/>
      <c r="E34" s="145"/>
      <c r="F34" s="145"/>
      <c r="G34" s="150"/>
      <c r="H34" s="150"/>
      <c r="I34" s="151"/>
      <c r="J34" s="40"/>
      <c r="K34" s="11"/>
      <c r="L34" s="40"/>
      <c r="M34" s="11"/>
      <c r="N34" s="89">
        <f>IF(OR(T34+V34=2,U34+W34=2),"---","")</f>
      </c>
      <c r="O34" s="90">
        <f>IF(OR(T34+V34=2,U34+W34=2),"---","")</f>
      </c>
      <c r="P34" s="199"/>
      <c r="Q34" s="200"/>
      <c r="R34" s="40"/>
      <c r="S34" s="11"/>
      <c r="T34" s="51"/>
      <c r="U34" s="53"/>
      <c r="V34" s="51"/>
      <c r="W34" s="53"/>
      <c r="X34" s="51"/>
      <c r="Y34" s="53"/>
      <c r="Z34" s="54"/>
      <c r="AA34" s="91"/>
    </row>
    <row r="35" spans="1:27" ht="12.75">
      <c r="A35" s="143"/>
      <c r="B35" s="142"/>
      <c r="C35" s="84">
        <f>C32+75/60/24</f>
        <v>0.5729166666666667</v>
      </c>
      <c r="D35" s="145">
        <f>$B$11+5</f>
        <v>8</v>
      </c>
      <c r="E35" s="145">
        <f>$B$32</f>
        <v>5</v>
      </c>
      <c r="F35" s="145">
        <f>$E35+$D35*100</f>
        <v>805</v>
      </c>
      <c r="G35" s="144" t="str">
        <f>R22</f>
        <v>W305 (no. 1 - 2)</v>
      </c>
      <c r="H35" s="144" t="str">
        <f>R24</f>
        <v>W405 (no. 1 - 2)</v>
      </c>
      <c r="I35" s="151" t="str">
        <f>"Official / "&amp;S24</f>
        <v>Official / L405 (no. 3 - 4)</v>
      </c>
      <c r="J35" s="96"/>
      <c r="K35" s="94"/>
      <c r="L35" s="96"/>
      <c r="M35" s="94"/>
      <c r="N35" s="89">
        <f>IF(OR(T35+V35=2,U35+W35=2),"---","")</f>
      </c>
      <c r="O35" s="90">
        <f>IF(OR(T35+V35=2,U35+W35=2),"---","")</f>
      </c>
      <c r="P35" s="199">
        <f>IF(AND(Z35=2,AA35=0),3,Z35)</f>
        <v>0</v>
      </c>
      <c r="Q35" s="200">
        <f>IF(AND(AA35=2,Z35=0),3,AA35)</f>
        <v>0</v>
      </c>
      <c r="R35" s="40" t="str">
        <f>IF(P35&gt;Q35,G35,IF(P35&lt;Q35,H35,"W"&amp;F35&amp;" (no. 1)"))</f>
        <v>W805 (no. 1)</v>
      </c>
      <c r="S35" s="11" t="str">
        <f>IF(P35&gt;Q35,H35,IF(P35&lt;Q35,G35,"L"&amp;F35&amp;" (no. 2)"))</f>
        <v>L805 (no. 2)</v>
      </c>
      <c r="T35" s="51">
        <f>IF(J35&gt;K35,1,0)</f>
        <v>0</v>
      </c>
      <c r="U35" s="53">
        <f>IF(K35&gt;J35,1,0)</f>
        <v>0</v>
      </c>
      <c r="V35" s="51">
        <f>IF(L35&gt;M35,1,0)</f>
        <v>0</v>
      </c>
      <c r="W35" s="53">
        <f>IF(M35&gt;L35,1,0)</f>
        <v>0</v>
      </c>
      <c r="X35" s="51">
        <f>IF(N35&gt;O35,1,0)</f>
        <v>0</v>
      </c>
      <c r="Y35" s="53">
        <f>IF(O35&gt;N35,1,0)</f>
        <v>0</v>
      </c>
      <c r="Z35" s="54">
        <f>SUM(T35,V35,X35)</f>
        <v>0</v>
      </c>
      <c r="AA35" s="91">
        <f>SUM(U35,W35,Y35)</f>
        <v>0</v>
      </c>
    </row>
    <row r="36" spans="1:27" ht="24.75" customHeight="1">
      <c r="A36" s="143"/>
      <c r="B36" s="142"/>
      <c r="C36" s="84"/>
      <c r="D36" s="145"/>
      <c r="E36" s="234"/>
      <c r="F36" s="234"/>
      <c r="G36" s="235"/>
      <c r="H36" s="235"/>
      <c r="I36" s="151"/>
      <c r="J36" s="96"/>
      <c r="K36" s="94"/>
      <c r="L36" s="96"/>
      <c r="M36" s="94"/>
      <c r="N36" s="89"/>
      <c r="O36" s="90"/>
      <c r="P36" s="199"/>
      <c r="Q36" s="200"/>
      <c r="R36" s="40"/>
      <c r="S36" s="11"/>
      <c r="T36" s="51"/>
      <c r="U36" s="53"/>
      <c r="V36" s="51"/>
      <c r="W36" s="53"/>
      <c r="X36" s="51"/>
      <c r="Y36" s="53"/>
      <c r="Z36" s="54"/>
      <c r="AA36" s="91"/>
    </row>
    <row r="37" spans="2:27" ht="12.75">
      <c r="B37" s="31"/>
      <c r="C37" s="84"/>
      <c r="D37" s="85"/>
      <c r="E37" s="85"/>
      <c r="F37" s="85"/>
      <c r="G37" s="95"/>
      <c r="H37" s="95"/>
      <c r="I37" s="94"/>
      <c r="J37" s="97"/>
      <c r="K37" s="98"/>
      <c r="L37" s="97"/>
      <c r="M37" s="98"/>
      <c r="N37" s="89">
        <f>IF(OR(T37+V37=2,U37+W37=2),"---","")</f>
      </c>
      <c r="O37" s="90">
        <f>IF(OR(T37+V37=2,U37+W37=2),"---","")</f>
      </c>
      <c r="P37" s="99"/>
      <c r="Q37" s="100"/>
      <c r="R37" s="40"/>
      <c r="S37" s="11"/>
      <c r="T37" s="101"/>
      <c r="U37" s="11"/>
      <c r="V37" s="40"/>
      <c r="W37" s="11"/>
      <c r="X37" s="40"/>
      <c r="Y37" s="11"/>
      <c r="Z37" s="40"/>
      <c r="AA37" s="11"/>
    </row>
    <row r="38" spans="2:27" ht="12.75" customHeight="1">
      <c r="B38" s="70"/>
      <c r="C38" s="84">
        <f>C35+75/60/24</f>
        <v>0.6250000000000001</v>
      </c>
      <c r="D38" s="85"/>
      <c r="E38" s="102"/>
      <c r="G38" s="251" t="str">
        <f>"Price ceremony on court 2."</f>
        <v>Price ceremony on court 2.</v>
      </c>
      <c r="H38" s="251"/>
      <c r="I38" s="103"/>
      <c r="J38" s="97"/>
      <c r="K38" s="98"/>
      <c r="L38" s="97"/>
      <c r="M38" s="98"/>
      <c r="N38" s="89">
        <f>IF(OR(T38+V38=2,U38+W38=2),"---","")</f>
      </c>
      <c r="O38" s="90">
        <f>IF(OR(T38+V38=2,U38+W38=2),"---","")</f>
      </c>
      <c r="P38" s="99"/>
      <c r="Q38" s="100"/>
      <c r="R38" s="40"/>
      <c r="S38" s="11"/>
      <c r="T38" s="40"/>
      <c r="U38" s="11"/>
      <c r="V38" s="40"/>
      <c r="W38" s="11"/>
      <c r="X38" s="40"/>
      <c r="Y38" s="11"/>
      <c r="Z38" s="40"/>
      <c r="AA38" s="11"/>
    </row>
    <row r="39" spans="2:27" ht="12.75">
      <c r="B39" s="31"/>
      <c r="C39" s="73"/>
      <c r="D39" s="14"/>
      <c r="E39" s="14"/>
      <c r="F39" s="14"/>
      <c r="G39" s="14"/>
      <c r="H39" s="14"/>
      <c r="I39" s="15"/>
      <c r="J39" s="57"/>
      <c r="K39" s="15"/>
      <c r="L39" s="57"/>
      <c r="M39" s="15"/>
      <c r="N39" s="104"/>
      <c r="O39" s="58"/>
      <c r="P39" s="57"/>
      <c r="Q39" s="15"/>
      <c r="R39" s="57"/>
      <c r="S39" s="15"/>
      <c r="T39" s="57"/>
      <c r="U39" s="15"/>
      <c r="V39" s="57"/>
      <c r="W39" s="15"/>
      <c r="X39" s="57"/>
      <c r="Y39" s="15"/>
      <c r="Z39" s="57"/>
      <c r="AA39" s="15"/>
    </row>
    <row r="40" spans="2:17" ht="12.75">
      <c r="B40" s="31"/>
      <c r="C40" s="105"/>
      <c r="D40" s="8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ht="12.75">
      <c r="B41" s="31"/>
    </row>
    <row r="42" spans="2:9" ht="12.75" customHeight="1">
      <c r="B42" s="31"/>
      <c r="C42" s="252" t="str">
        <f>$B$4&amp;" "&amp;$B$5</f>
        <v>Women B</v>
      </c>
      <c r="D42" s="253"/>
      <c r="E42" s="254"/>
      <c r="F42" s="32"/>
      <c r="G42" s="5"/>
      <c r="H42" s="5"/>
      <c r="I42" s="6"/>
    </row>
    <row r="43" spans="2:9" ht="12.75" customHeight="1">
      <c r="B43" s="31"/>
      <c r="C43" s="255"/>
      <c r="D43" s="256"/>
      <c r="E43" s="257"/>
      <c r="F43" s="97" t="s">
        <v>32</v>
      </c>
      <c r="G43" s="10" t="str">
        <f>$G$12</f>
        <v>Team</v>
      </c>
      <c r="H43" s="10" t="str">
        <f>$H$12</f>
        <v>City</v>
      </c>
      <c r="I43" s="11" t="str">
        <f>$I$12</f>
        <v>Country</v>
      </c>
    </row>
    <row r="44" spans="2:9" ht="12.75">
      <c r="B44" s="31"/>
      <c r="C44" s="32"/>
      <c r="D44" s="25" t="s">
        <v>64</v>
      </c>
      <c r="E44" s="136">
        <v>1</v>
      </c>
      <c r="F44" s="71" t="str">
        <f>$B$6&amp;"1"</f>
        <v>FX1</v>
      </c>
      <c r="G44" s="5" t="str">
        <f>R35</f>
        <v>W805 (no. 1)</v>
      </c>
      <c r="H44" s="5" t="e">
        <f>VLOOKUP(G44,$G$13:$I$16,2,FALSE)</f>
        <v>#N/A</v>
      </c>
      <c r="I44" s="6" t="e">
        <f>VLOOKUP(G44,$G$13:$I$16,3,FALSE)</f>
        <v>#N/A</v>
      </c>
    </row>
    <row r="45" spans="2:9" ht="12.75">
      <c r="B45" s="31"/>
      <c r="C45" s="40"/>
      <c r="D45" s="41" t="s">
        <v>65</v>
      </c>
      <c r="E45" s="137">
        <v>2</v>
      </c>
      <c r="F45" s="97" t="str">
        <f>$B$6&amp;"2"</f>
        <v>FX2</v>
      </c>
      <c r="G45" s="10" t="str">
        <f>S35</f>
        <v>L805 (no. 2)</v>
      </c>
      <c r="H45" s="10" t="e">
        <f>VLOOKUP(G45,$G$13:$I$16,2,FALSE)</f>
        <v>#N/A</v>
      </c>
      <c r="I45" s="11" t="e">
        <f>VLOOKUP(G45,$G$13:$I$16,3,FALSE)</f>
        <v>#N/A</v>
      </c>
    </row>
    <row r="46" spans="2:9" ht="12.75">
      <c r="B46" s="31"/>
      <c r="C46" s="40"/>
      <c r="D46" s="41" t="s">
        <v>66</v>
      </c>
      <c r="E46" s="137">
        <v>3</v>
      </c>
      <c r="F46" s="97" t="str">
        <f>$B$6&amp;"3"</f>
        <v>FX3</v>
      </c>
      <c r="G46" s="10" t="str">
        <f>R32</f>
        <v>W605 (no. 3)</v>
      </c>
      <c r="H46" s="10" t="e">
        <f>VLOOKUP(G46,$G$13:$I$16,2,FALSE)</f>
        <v>#N/A</v>
      </c>
      <c r="I46" s="11" t="e">
        <f>VLOOKUP(G46,$G$13:$I$16,3,FALSE)</f>
        <v>#N/A</v>
      </c>
    </row>
    <row r="47" spans="2:9" ht="12.75">
      <c r="B47" s="31"/>
      <c r="C47" s="57"/>
      <c r="D47" s="27"/>
      <c r="E47" s="138">
        <v>4</v>
      </c>
      <c r="F47" s="73" t="str">
        <f>$B$6&amp;"4"</f>
        <v>FX4</v>
      </c>
      <c r="G47" s="14" t="str">
        <f>S32</f>
        <v>L605 (no. 4)</v>
      </c>
      <c r="H47" s="14" t="e">
        <f>VLOOKUP(G47,$G$13:$I$16,2,FALSE)</f>
        <v>#N/A</v>
      </c>
      <c r="I47" s="15" t="e">
        <f>VLOOKUP(G47,$G$13:$I$16,3,FALSE)</f>
        <v>#N/A</v>
      </c>
    </row>
    <row r="48" ht="12.75">
      <c r="B48" s="31"/>
    </row>
  </sheetData>
  <mergeCells count="22">
    <mergeCell ref="X29:Y29"/>
    <mergeCell ref="Z29:AA29"/>
    <mergeCell ref="G38:H38"/>
    <mergeCell ref="X19:Y19"/>
    <mergeCell ref="F26:I26"/>
    <mergeCell ref="F27:I27"/>
    <mergeCell ref="N29:O29"/>
    <mergeCell ref="P29:Q29"/>
    <mergeCell ref="T29:U29"/>
    <mergeCell ref="V29:W29"/>
    <mergeCell ref="J29:K29"/>
    <mergeCell ref="L29:M29"/>
    <mergeCell ref="C11:F12"/>
    <mergeCell ref="C42:E43"/>
    <mergeCell ref="J19:K19"/>
    <mergeCell ref="L19:M19"/>
    <mergeCell ref="C4:F6"/>
    <mergeCell ref="C7:F8"/>
    <mergeCell ref="T19:U19"/>
    <mergeCell ref="V19:W19"/>
    <mergeCell ref="N19:O19"/>
    <mergeCell ref="P19:Q19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40" min="2" max="18" man="1"/>
  </rowBreaks>
  <colBreaks count="1" manualBreakCount="1">
    <brk id="17" min="3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7"/>
  <sheetViews>
    <sheetView zoomScale="75" zoomScaleNormal="75" workbookViewId="0" topLeftCell="A1">
      <selection activeCell="L11" sqref="L11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A</v>
      </c>
      <c r="D4" s="261"/>
      <c r="E4" s="261"/>
      <c r="F4" s="262"/>
      <c r="G4" s="5"/>
      <c r="H4" s="17" t="str">
        <f>$A$8&amp;":"</f>
        <v>Venue:</v>
      </c>
      <c r="I4" s="6" t="str">
        <f>$B$8</f>
        <v>Olympos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12</v>
      </c>
      <c r="C5" s="263"/>
      <c r="D5" s="264"/>
      <c r="E5" s="264"/>
      <c r="F5" s="265"/>
      <c r="G5" s="10"/>
      <c r="H5" s="19" t="str">
        <f>$A$9&amp;":"</f>
        <v>Court:</v>
      </c>
      <c r="I5" s="20" t="str">
        <f>$B$9&amp;" / "&amp;$B$9+1</f>
        <v>9 / 10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96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0.513888888888889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tr">
        <f>$B$43&amp;" - "&amp;$B$43+4&amp;" ranking"</f>
        <v>9 - 13 ranking</v>
      </c>
      <c r="D7" s="267"/>
      <c r="E7" s="267"/>
      <c r="F7" s="268"/>
      <c r="G7" s="140"/>
      <c r="H7" s="25" t="str">
        <f>"Each match consists of 2 sets of at most "&amp;$B$13&amp;" points."</f>
        <v>Each match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15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9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0.513888888888889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6</v>
      </c>
      <c r="C11" s="272" t="str">
        <f>$A$6&amp;" "&amp;$B$6</f>
        <v>Group AB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96" t="s">
        <v>27</v>
      </c>
      <c r="H12" s="157" t="s">
        <v>28</v>
      </c>
      <c r="I12" s="50" t="s">
        <v>29</v>
      </c>
      <c r="J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156"/>
      <c r="G13" s="32" t="s">
        <v>242</v>
      </c>
      <c r="H13" s="5" t="s">
        <v>243</v>
      </c>
      <c r="I13" s="6" t="s">
        <v>123</v>
      </c>
      <c r="J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157"/>
      <c r="G14" s="40" t="s">
        <v>189</v>
      </c>
      <c r="H14" s="10" t="s">
        <v>172</v>
      </c>
      <c r="I14" s="11" t="s">
        <v>173</v>
      </c>
      <c r="J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157"/>
      <c r="G15" s="40" t="s">
        <v>241</v>
      </c>
      <c r="H15" s="10" t="s">
        <v>134</v>
      </c>
      <c r="I15" s="11" t="s">
        <v>120</v>
      </c>
      <c r="J15" s="30"/>
      <c r="K15" s="41"/>
      <c r="L15" s="139"/>
      <c r="M15" s="139"/>
      <c r="N15" s="139"/>
      <c r="O15" s="41"/>
      <c r="P15" s="139"/>
      <c r="Q15" s="139"/>
      <c r="R15" s="30"/>
      <c r="S15" s="30"/>
      <c r="T15" s="30"/>
      <c r="U15" s="31"/>
    </row>
    <row r="16" spans="2:21" ht="12.75">
      <c r="B16" s="3"/>
      <c r="C16" s="40"/>
      <c r="D16" s="10"/>
      <c r="E16" s="10"/>
      <c r="F16" s="157"/>
      <c r="G16" s="40" t="s">
        <v>183</v>
      </c>
      <c r="H16" s="10" t="s">
        <v>184</v>
      </c>
      <c r="I16" s="11" t="s">
        <v>185</v>
      </c>
      <c r="J16" s="30"/>
      <c r="K16" s="139"/>
      <c r="L16" s="139"/>
      <c r="M16" s="139"/>
      <c r="N16" s="139"/>
      <c r="O16" s="139"/>
      <c r="P16" s="139"/>
      <c r="Q16" s="139"/>
      <c r="R16" s="30"/>
      <c r="S16" s="30"/>
      <c r="T16" s="30"/>
      <c r="U16" s="31"/>
    </row>
    <row r="17" spans="2:21" ht="12.75">
      <c r="B17" s="3"/>
      <c r="C17" s="57"/>
      <c r="D17" s="14"/>
      <c r="E17" s="14"/>
      <c r="F17" s="38"/>
      <c r="G17" s="57" t="s">
        <v>186</v>
      </c>
      <c r="H17" s="14" t="s">
        <v>187</v>
      </c>
      <c r="I17" s="15" t="s">
        <v>188</v>
      </c>
      <c r="J17" s="30"/>
      <c r="K17" s="30"/>
      <c r="L17" s="10"/>
      <c r="M17" s="30"/>
      <c r="N17" s="30"/>
      <c r="O17" s="30"/>
      <c r="P17" s="10"/>
      <c r="Q17" s="30"/>
      <c r="R17" s="30"/>
      <c r="S17" s="30"/>
      <c r="T17" s="30"/>
      <c r="U17" s="31"/>
    </row>
    <row r="18" spans="3:39" s="65" customFormat="1" ht="12.75">
      <c r="C18" s="19"/>
      <c r="D18" s="66"/>
      <c r="E18" s="66"/>
      <c r="F18" s="67"/>
      <c r="G18" s="68"/>
      <c r="H18" s="66"/>
      <c r="I18" s="66"/>
      <c r="J18" s="69"/>
      <c r="K18" s="69"/>
      <c r="L18" s="69"/>
      <c r="M18" s="69"/>
      <c r="N18" s="69"/>
      <c r="O18" s="69"/>
      <c r="P18" s="69"/>
      <c r="Q18" s="19"/>
      <c r="AA18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3:39" s="65" customFormat="1" ht="12.75">
      <c r="C19" s="19"/>
      <c r="D19" s="66"/>
      <c r="E19" s="66"/>
      <c r="F19" s="67"/>
      <c r="G19" s="68"/>
      <c r="H19" s="66"/>
      <c r="I19" s="66"/>
      <c r="J19" s="69"/>
      <c r="K19" s="69"/>
      <c r="L19" s="69"/>
      <c r="M19" s="69"/>
      <c r="N19" s="69"/>
      <c r="O19" s="69"/>
      <c r="P19" s="69"/>
      <c r="Q19" s="1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0"/>
    </row>
    <row r="20" spans="3:35" ht="12.75">
      <c r="C20" s="32"/>
      <c r="D20" s="5"/>
      <c r="E20" s="5"/>
      <c r="F20" s="5"/>
      <c r="G20" s="5"/>
      <c r="H20" s="5"/>
      <c r="I20" s="6"/>
      <c r="J20" s="249" t="s">
        <v>39</v>
      </c>
      <c r="K20" s="250"/>
      <c r="L20" s="249" t="s">
        <v>40</v>
      </c>
      <c r="M20" s="250"/>
      <c r="N20" s="249" t="s">
        <v>78</v>
      </c>
      <c r="O20" s="250"/>
      <c r="P20" s="249" t="s">
        <v>31</v>
      </c>
      <c r="Q20" s="250"/>
      <c r="R20" s="32"/>
      <c r="S20" s="6"/>
      <c r="T20" s="249" t="s">
        <v>39</v>
      </c>
      <c r="U20" s="250"/>
      <c r="V20" s="249" t="s">
        <v>40</v>
      </c>
      <c r="W20" s="250"/>
      <c r="X20" s="249" t="s">
        <v>24</v>
      </c>
      <c r="Y20" s="250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3:25" ht="12.75">
      <c r="C21" s="73" t="s">
        <v>18</v>
      </c>
      <c r="D21" s="74" t="s">
        <v>43</v>
      </c>
      <c r="E21" s="74" t="s">
        <v>17</v>
      </c>
      <c r="F21" s="75" t="s">
        <v>44</v>
      </c>
      <c r="G21" s="76" t="s">
        <v>45</v>
      </c>
      <c r="H21" s="77" t="s">
        <v>46</v>
      </c>
      <c r="I21" s="78" t="s">
        <v>47</v>
      </c>
      <c r="J21" s="79" t="s">
        <v>48</v>
      </c>
      <c r="K21" s="80" t="s">
        <v>49</v>
      </c>
      <c r="L21" s="79" t="s">
        <v>48</v>
      </c>
      <c r="M21" s="80" t="s">
        <v>49</v>
      </c>
      <c r="N21" s="79" t="s">
        <v>48</v>
      </c>
      <c r="O21" s="80" t="s">
        <v>49</v>
      </c>
      <c r="P21" s="81" t="s">
        <v>48</v>
      </c>
      <c r="Q21" s="82" t="s">
        <v>49</v>
      </c>
      <c r="R21" s="57" t="s">
        <v>79</v>
      </c>
      <c r="S21" s="15" t="s">
        <v>80</v>
      </c>
      <c r="T21" s="79" t="s">
        <v>48</v>
      </c>
      <c r="U21" s="80" t="s">
        <v>49</v>
      </c>
      <c r="V21" s="79" t="s">
        <v>48</v>
      </c>
      <c r="W21" s="80" t="s">
        <v>49</v>
      </c>
      <c r="X21" s="79" t="s">
        <v>48</v>
      </c>
      <c r="Y21" s="80" t="s">
        <v>49</v>
      </c>
    </row>
    <row r="22" spans="3:25" ht="12.75">
      <c r="C22" s="71"/>
      <c r="D22" s="25"/>
      <c r="E22" s="25"/>
      <c r="F22" s="25"/>
      <c r="G22" s="5"/>
      <c r="H22" s="5"/>
      <c r="I22" s="6"/>
      <c r="J22" s="71"/>
      <c r="K22" s="72"/>
      <c r="L22" s="71"/>
      <c r="M22" s="72"/>
      <c r="N22" s="83"/>
      <c r="O22" s="17"/>
      <c r="P22" s="71"/>
      <c r="Q22" s="72"/>
      <c r="R22" s="32"/>
      <c r="S22" s="6"/>
      <c r="T22" s="32"/>
      <c r="U22" s="6"/>
      <c r="V22" s="32"/>
      <c r="W22" s="6"/>
      <c r="X22" s="40"/>
      <c r="Y22" s="11"/>
    </row>
    <row r="23" spans="3:25" ht="25.5">
      <c r="C23" s="84">
        <f>$B$10+(D23-$B$11)*($B$12/60/24+TIME(0,5,0))</f>
        <v>0.513888888888889</v>
      </c>
      <c r="D23" s="85">
        <f>$B$11</f>
        <v>6</v>
      </c>
      <c r="E23" s="85">
        <f>$B$9</f>
        <v>9</v>
      </c>
      <c r="F23" s="85">
        <f>$E23+$D23*100</f>
        <v>609</v>
      </c>
      <c r="G23" s="86" t="str">
        <f>G14</f>
        <v>MaltaSwissAustrian Team</v>
      </c>
      <c r="H23" s="86" t="str">
        <f>G15</f>
        <v>Ech Wel</v>
      </c>
      <c r="I23" s="87" t="str">
        <f>G17</f>
        <v>Stockholm Spikers</v>
      </c>
      <c r="J23" s="202"/>
      <c r="K23" s="203"/>
      <c r="L23" s="202"/>
      <c r="M23" s="203"/>
      <c r="N23" s="188">
        <f>SUM(J23,L23)</f>
        <v>0</v>
      </c>
      <c r="O23" s="189">
        <f>SUM(K23,M23)</f>
        <v>0</v>
      </c>
      <c r="P23" s="190">
        <f>SUM(T23,V23)</f>
        <v>2</v>
      </c>
      <c r="Q23" s="191">
        <f>SUM(U23,W23)</f>
        <v>2</v>
      </c>
      <c r="R23" s="40" t="str">
        <f>IF(P23&gt;Q23,G23,IF(P23&lt;Q23,H23,IF(N23&gt;O23,G23,IF(N23&lt;O23,H23,IF(X23&gt;Y23,G23,IF(X23&lt;Y23,H23,"W"&amp;F23&amp;" (no. 1 - 2)"))))))</f>
        <v>W609 (no. 1 - 2)</v>
      </c>
      <c r="S23" s="11" t="str">
        <f>IF(P23&gt;Q23,H23,IF(P23&lt;Q23,G23,IF(N23&gt;O23,H23,IF(N23&lt;O23,G23,IF(X23&gt;Y23,H23,IF(X23&lt;Y23,G23,"L"&amp;F23&amp;" (no. 3 - 5)"))))))</f>
        <v>L609 (no. 3 - 5)</v>
      </c>
      <c r="T23" s="51">
        <f>IF(J23&gt;K23,2,IF(J23=K23,1,0))</f>
        <v>1</v>
      </c>
      <c r="U23" s="53">
        <f>IF(K23&gt;J23,2,IF(K23=J23,1,0))</f>
        <v>1</v>
      </c>
      <c r="V23" s="51">
        <f>IF(L23&gt;M23,2,IF(L23=M23,1,0))</f>
        <v>1</v>
      </c>
      <c r="W23" s="53">
        <f>IF(M23&gt;L23,2,IF(M23=L23,1,0))</f>
        <v>1</v>
      </c>
      <c r="X23" s="40"/>
      <c r="Y23" s="11"/>
    </row>
    <row r="24" spans="3:25" ht="12.75">
      <c r="C24" s="84"/>
      <c r="D24" s="85">
        <f>$B$11</f>
        <v>6</v>
      </c>
      <c r="E24" s="85">
        <f>$B$9+1</f>
        <v>10</v>
      </c>
      <c r="F24" s="85">
        <f>$E24+$D24*100</f>
        <v>610</v>
      </c>
      <c r="G24" s="86" t="str">
        <f>G16</f>
        <v>Chicago 2006</v>
      </c>
      <c r="H24" s="86" t="str">
        <f>G13</f>
        <v>Mai Thai International</v>
      </c>
      <c r="I24" s="186" t="s">
        <v>102</v>
      </c>
      <c r="J24" s="202"/>
      <c r="K24" s="203"/>
      <c r="L24" s="202"/>
      <c r="M24" s="203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1 - 2)"))))))</f>
        <v>W610 (no. 1 - 2)</v>
      </c>
      <c r="S24" s="11" t="str">
        <f>IF(P24&gt;Q24,H24,IF(P24&lt;Q24,G24,IF(N24&gt;O24,H24,IF(N24&lt;O24,G24,IF(X24&gt;Y24,H24,IF(X24&lt;Y24,G24,"L"&amp;F24&amp;" (no. 3 - 5)"))))))</f>
        <v>L610 (no. 3 - 5)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2:25" ht="12.75">
      <c r="B25" s="31"/>
      <c r="C25" s="84"/>
      <c r="D25" s="85"/>
      <c r="E25" s="85"/>
      <c r="F25" s="85"/>
      <c r="G25" s="30"/>
      <c r="H25" s="30"/>
      <c r="I25" s="87"/>
      <c r="J25" s="204"/>
      <c r="K25" s="205"/>
      <c r="L25" s="204"/>
      <c r="M25" s="205"/>
      <c r="N25" s="188"/>
      <c r="O25" s="189"/>
      <c r="P25" s="190"/>
      <c r="Q25" s="191"/>
      <c r="R25" s="40"/>
      <c r="S25" s="11"/>
      <c r="T25" s="51"/>
      <c r="U25" s="53"/>
      <c r="V25" s="51"/>
      <c r="W25" s="53"/>
      <c r="X25" s="40"/>
      <c r="Y25" s="11"/>
    </row>
    <row r="26" spans="2:25" ht="12.75">
      <c r="B26" s="31"/>
      <c r="C26" s="84">
        <f>$B$10+(D26-$B$11)*($B$12/60/24+TIME(0,5,0))</f>
        <v>0.5416666666666667</v>
      </c>
      <c r="D26" s="145">
        <f>$B$11+1</f>
        <v>7</v>
      </c>
      <c r="E26" s="85">
        <f>$B$9</f>
        <v>9</v>
      </c>
      <c r="F26" s="85">
        <f>$E26+$D26*100</f>
        <v>709</v>
      </c>
      <c r="G26" s="180" t="str">
        <f>S24</f>
        <v>L610 (no. 3 - 5)</v>
      </c>
      <c r="H26" s="180" t="str">
        <f>G17</f>
        <v>Stockholm Spikers</v>
      </c>
      <c r="I26" s="181" t="str">
        <f>S23</f>
        <v>L609 (no. 3 - 5)</v>
      </c>
      <c r="J26" s="206" t="s">
        <v>113</v>
      </c>
      <c r="K26" s="207" t="s">
        <v>113</v>
      </c>
      <c r="L26" s="206" t="s">
        <v>113</v>
      </c>
      <c r="M26" s="207" t="s">
        <v>113</v>
      </c>
      <c r="N26" s="188"/>
      <c r="O26" s="189"/>
      <c r="P26" s="190"/>
      <c r="Q26" s="191"/>
      <c r="R26" s="183" t="s">
        <v>111</v>
      </c>
      <c r="S26" s="11"/>
      <c r="T26" s="51">
        <f>IF(J26&gt;K26,2,IF(J26=K26,1,0))</f>
        <v>1</v>
      </c>
      <c r="U26" s="53">
        <f>IF(K26&gt;J26,2,IF(K26=J26,1,0))</f>
        <v>1</v>
      </c>
      <c r="V26" s="51">
        <f>IF(L26&gt;M26,2,IF(L26=M26,1,0))</f>
        <v>1</v>
      </c>
      <c r="W26" s="53">
        <f>IF(M26&gt;L26,2,IF(M26=L26,1,0))</f>
        <v>1</v>
      </c>
      <c r="X26" s="40"/>
      <c r="Y26" s="11"/>
    </row>
    <row r="27" spans="2:25" ht="24.75" customHeight="1">
      <c r="B27" s="31"/>
      <c r="C27" s="84"/>
      <c r="D27" s="145"/>
      <c r="E27" s="159"/>
      <c r="F27" s="159"/>
      <c r="G27" s="216"/>
      <c r="H27" s="216"/>
      <c r="I27" s="217"/>
      <c r="J27" s="206"/>
      <c r="K27" s="207"/>
      <c r="L27" s="206"/>
      <c r="M27" s="207"/>
      <c r="N27" s="188"/>
      <c r="O27" s="189"/>
      <c r="P27" s="190"/>
      <c r="Q27" s="191"/>
      <c r="R27" s="183"/>
      <c r="S27" s="11"/>
      <c r="T27" s="51"/>
      <c r="U27" s="53"/>
      <c r="V27" s="51"/>
      <c r="W27" s="53"/>
      <c r="X27" s="40"/>
      <c r="Y27" s="11"/>
    </row>
    <row r="28" spans="2:25" ht="12.75">
      <c r="B28" s="31"/>
      <c r="C28" s="84"/>
      <c r="D28" s="85">
        <f>$B$11+1</f>
        <v>7</v>
      </c>
      <c r="E28" s="85">
        <f>$B$9+1</f>
        <v>10</v>
      </c>
      <c r="F28" s="85">
        <f>$E28+$D28*100</f>
        <v>710</v>
      </c>
      <c r="G28" s="30" t="str">
        <f>R23</f>
        <v>W609 (no. 1 - 2)</v>
      </c>
      <c r="H28" s="30" t="str">
        <f>R24</f>
        <v>W610 (no. 1 - 2)</v>
      </c>
      <c r="I28" s="186" t="s">
        <v>102</v>
      </c>
      <c r="J28" s="208"/>
      <c r="K28" s="209"/>
      <c r="L28" s="208"/>
      <c r="M28" s="209"/>
      <c r="N28" s="188">
        <f>SUM(J28,L28)</f>
        <v>0</v>
      </c>
      <c r="O28" s="189">
        <f>SUM(K28,M28)</f>
        <v>0</v>
      </c>
      <c r="P28" s="190">
        <f>SUM(T28,V28)</f>
        <v>2</v>
      </c>
      <c r="Q28" s="191">
        <f>SUM(U28,W28)</f>
        <v>2</v>
      </c>
      <c r="R28" s="40" t="str">
        <f>IF(P28&gt;Q28,G28,IF(P28&lt;Q28,H28,IF(N28&gt;O28,G28,IF(N28&lt;O28,H28,IF(X28&gt;Y28,G28,IF(X28&lt;Y28,H28,"W"&amp;F28&amp;" (no. 1)"))))))</f>
        <v>W710 (no. 1)</v>
      </c>
      <c r="S28" s="11" t="str">
        <f>IF(P28&gt;Q28,H28,IF(P28&lt;Q28,G28,IF(N28&gt;O28,H28,IF(N28&lt;O28,G28,IF(X28&gt;Y28,H28,IF(X28&lt;Y28,G28,"L"&amp;F28&amp;" (no. 2)"))))))</f>
        <v>L710 (no. 2)</v>
      </c>
      <c r="T28" s="51">
        <f>IF(J28&gt;K28,2,IF(J28=K28,1,0))</f>
        <v>1</v>
      </c>
      <c r="U28" s="53">
        <f>IF(K28&gt;J28,2,IF(K28=J28,1,0))</f>
        <v>1</v>
      </c>
      <c r="V28" s="51">
        <f>IF(L28&gt;M28,2,IF(L28=M28,1,0))</f>
        <v>1</v>
      </c>
      <c r="W28" s="53">
        <f>IF(M28&gt;L28,2,IF(M28=L28,1,0))</f>
        <v>1</v>
      </c>
      <c r="X28" s="40"/>
      <c r="Y28" s="11"/>
    </row>
    <row r="29" spans="2:25" ht="24.75" customHeight="1">
      <c r="B29" s="31"/>
      <c r="C29" s="84"/>
      <c r="D29" s="85"/>
      <c r="E29" s="159"/>
      <c r="F29" s="159"/>
      <c r="G29" s="216"/>
      <c r="H29" s="216"/>
      <c r="I29" s="217"/>
      <c r="J29" s="208"/>
      <c r="K29" s="209"/>
      <c r="L29" s="208"/>
      <c r="M29" s="209"/>
      <c r="N29" s="188"/>
      <c r="O29" s="189"/>
      <c r="P29" s="190"/>
      <c r="Q29" s="191"/>
      <c r="R29" s="40"/>
      <c r="S29" s="11"/>
      <c r="T29" s="51"/>
      <c r="U29" s="53"/>
      <c r="V29" s="51"/>
      <c r="W29" s="53"/>
      <c r="X29" s="40"/>
      <c r="Y29" s="11"/>
    </row>
    <row r="30" spans="2:25" ht="12.75">
      <c r="B30" s="31"/>
      <c r="C30" s="84"/>
      <c r="D30" s="85"/>
      <c r="E30" s="85"/>
      <c r="F30" s="85"/>
      <c r="G30" s="30"/>
      <c r="H30" s="30"/>
      <c r="I30" s="87"/>
      <c r="J30" s="208"/>
      <c r="K30" s="209"/>
      <c r="L30" s="208"/>
      <c r="M30" s="209"/>
      <c r="N30" s="192"/>
      <c r="O30" s="193"/>
      <c r="P30" s="194"/>
      <c r="Q30" s="195"/>
      <c r="R30" s="57"/>
      <c r="S30" s="15"/>
      <c r="T30" s="99"/>
      <c r="U30" s="100"/>
      <c r="V30" s="99"/>
      <c r="W30" s="100"/>
      <c r="X30" s="57"/>
      <c r="Y30" s="15"/>
    </row>
    <row r="31" spans="3:25" ht="12.75">
      <c r="C31" s="71"/>
      <c r="D31" s="25"/>
      <c r="E31" s="25"/>
      <c r="F31" s="25"/>
      <c r="G31" s="5"/>
      <c r="H31" s="5"/>
      <c r="I31" s="6"/>
      <c r="J31" s="210"/>
      <c r="K31" s="211"/>
      <c r="L31" s="210"/>
      <c r="M31" s="211"/>
      <c r="N31" s="196"/>
      <c r="O31" s="197"/>
      <c r="P31" s="196"/>
      <c r="Q31" s="198"/>
      <c r="R31" s="32"/>
      <c r="S31" s="6"/>
      <c r="T31" s="32"/>
      <c r="U31" s="6"/>
      <c r="V31" s="32"/>
      <c r="W31" s="6"/>
      <c r="X31" s="32"/>
      <c r="Y31" s="6"/>
    </row>
    <row r="32" spans="3:25" ht="12.75">
      <c r="C32" s="84">
        <f>$B$10+(D32-$B$11)*($B$12/60/24+TIME(0,5,0))</f>
        <v>0.5694444444444445</v>
      </c>
      <c r="D32" s="85">
        <f>$B$11+2</f>
        <v>8</v>
      </c>
      <c r="E32" s="85">
        <f>$B$9</f>
        <v>9</v>
      </c>
      <c r="F32" s="85">
        <f>$E32+$D32*100</f>
        <v>809</v>
      </c>
      <c r="G32" s="182" t="str">
        <f>G17</f>
        <v>Stockholm Spikers</v>
      </c>
      <c r="H32" s="182" t="str">
        <f>S23</f>
        <v>L609 (no. 3 - 5)</v>
      </c>
      <c r="I32" s="181" t="str">
        <f>S24</f>
        <v>L610 (no. 3 - 5)</v>
      </c>
      <c r="J32" s="212" t="s">
        <v>113</v>
      </c>
      <c r="K32" s="213" t="s">
        <v>113</v>
      </c>
      <c r="L32" s="212" t="s">
        <v>113</v>
      </c>
      <c r="M32" s="213" t="s">
        <v>113</v>
      </c>
      <c r="N32" s="188"/>
      <c r="O32" s="189"/>
      <c r="P32" s="190"/>
      <c r="Q32" s="191"/>
      <c r="R32" s="183" t="s">
        <v>111</v>
      </c>
      <c r="S32" s="11"/>
      <c r="T32" s="51">
        <f>IF(J32&gt;K32,2,IF(J32=K32,1,0))</f>
        <v>1</v>
      </c>
      <c r="U32" s="53">
        <f>IF(K32&gt;J32,2,IF(K32=J32,1,0))</f>
        <v>1</v>
      </c>
      <c r="V32" s="51">
        <f>IF(L32&gt;M32,2,IF(L32=M32,1,0))</f>
        <v>1</v>
      </c>
      <c r="W32" s="53">
        <f>IF(M32&gt;L32,2,IF(M32=L32,1,0))</f>
        <v>1</v>
      </c>
      <c r="X32" s="40"/>
      <c r="Y32" s="11"/>
    </row>
    <row r="33" spans="3:25" ht="24.75" customHeight="1">
      <c r="C33" s="84"/>
      <c r="D33" s="85"/>
      <c r="E33" s="159"/>
      <c r="F33" s="159"/>
      <c r="G33" s="218"/>
      <c r="H33" s="218"/>
      <c r="I33" s="217"/>
      <c r="J33" s="214"/>
      <c r="K33" s="215"/>
      <c r="L33" s="214"/>
      <c r="M33" s="215"/>
      <c r="N33" s="188"/>
      <c r="O33" s="189"/>
      <c r="P33" s="190"/>
      <c r="Q33" s="191"/>
      <c r="R33" s="40"/>
      <c r="S33" s="11"/>
      <c r="T33" s="51"/>
      <c r="U33" s="53"/>
      <c r="V33" s="51"/>
      <c r="W33" s="53"/>
      <c r="X33" s="40"/>
      <c r="Y33" s="11"/>
    </row>
    <row r="34" spans="3:25" ht="12.75">
      <c r="C34" s="84">
        <f>$B$10+(D34-$B$11)*($B$12/60/24+TIME(0,5,0))</f>
        <v>0.5972222222222223</v>
      </c>
      <c r="D34" s="85">
        <f>$B$11+3</f>
        <v>9</v>
      </c>
      <c r="E34" s="85">
        <f>$B$9</f>
        <v>9</v>
      </c>
      <c r="F34" s="85">
        <f>$E34+$D34*100</f>
        <v>909</v>
      </c>
      <c r="G34" s="182" t="str">
        <f>S23</f>
        <v>L609 (no. 3 - 5)</v>
      </c>
      <c r="H34" s="182" t="str">
        <f>S24</f>
        <v>L610 (no. 3 - 5)</v>
      </c>
      <c r="I34" s="181" t="str">
        <f>G17</f>
        <v>Stockholm Spikers</v>
      </c>
      <c r="J34" s="212" t="s">
        <v>113</v>
      </c>
      <c r="K34" s="213" t="s">
        <v>113</v>
      </c>
      <c r="L34" s="212" t="s">
        <v>113</v>
      </c>
      <c r="M34" s="213" t="s">
        <v>113</v>
      </c>
      <c r="N34" s="188"/>
      <c r="O34" s="189"/>
      <c r="P34" s="190"/>
      <c r="Q34" s="191"/>
      <c r="R34" s="183" t="s">
        <v>111</v>
      </c>
      <c r="S34" s="11"/>
      <c r="T34" s="51">
        <f>IF(J34&gt;K34,2,IF(J34=K34,1,0))</f>
        <v>1</v>
      </c>
      <c r="U34" s="53">
        <f>IF(K34&gt;J34,2,IF(K34=J34,1,0))</f>
        <v>1</v>
      </c>
      <c r="V34" s="51">
        <f>IF(L34&gt;M34,2,IF(L34=M34,1,0))</f>
        <v>1</v>
      </c>
      <c r="W34" s="53">
        <f>IF(M34&gt;L34,2,IF(M34=L34,1,0))</f>
        <v>1</v>
      </c>
      <c r="X34" s="40"/>
      <c r="Y34" s="11"/>
    </row>
    <row r="35" spans="3:25" ht="24.75" customHeight="1">
      <c r="C35" s="84"/>
      <c r="D35" s="85"/>
      <c r="E35" s="159"/>
      <c r="F35" s="159"/>
      <c r="G35" s="218"/>
      <c r="H35" s="218"/>
      <c r="I35" s="217"/>
      <c r="J35" s="212"/>
      <c r="K35" s="213"/>
      <c r="L35" s="212"/>
      <c r="M35" s="213"/>
      <c r="N35" s="188"/>
      <c r="O35" s="189"/>
      <c r="P35" s="190"/>
      <c r="Q35" s="191"/>
      <c r="R35" s="183"/>
      <c r="S35" s="11"/>
      <c r="T35" s="51"/>
      <c r="U35" s="53"/>
      <c r="V35" s="51"/>
      <c r="W35" s="53"/>
      <c r="X35" s="40"/>
      <c r="Y35" s="11"/>
    </row>
    <row r="36" spans="3:25" ht="12.75">
      <c r="C36" s="84"/>
      <c r="D36" s="85"/>
      <c r="E36" s="85"/>
      <c r="F36" s="85"/>
      <c r="G36" s="86"/>
      <c r="H36" s="86"/>
      <c r="I36" s="87"/>
      <c r="J36" s="88"/>
      <c r="K36" s="87"/>
      <c r="L36" s="88"/>
      <c r="M36" s="87"/>
      <c r="N36" s="89"/>
      <c r="O36" s="90"/>
      <c r="P36" s="99"/>
      <c r="Q36" s="100"/>
      <c r="R36" s="40"/>
      <c r="S36" s="11"/>
      <c r="T36" s="51"/>
      <c r="U36" s="53"/>
      <c r="V36" s="51"/>
      <c r="W36" s="53"/>
      <c r="X36" s="40"/>
      <c r="Y36" s="11"/>
    </row>
    <row r="37" spans="3:25" ht="12.75" customHeight="1">
      <c r="C37" s="84">
        <f>$B$10+(D37-$B$11)*($B$12/60/24+TIME(0,5,0))</f>
        <v>0.625</v>
      </c>
      <c r="D37" s="201">
        <f>$B$11+4</f>
        <v>10</v>
      </c>
      <c r="E37" s="102" t="s">
        <v>51</v>
      </c>
      <c r="F37" s="258" t="s">
        <v>97</v>
      </c>
      <c r="G37" s="258"/>
      <c r="H37" s="258"/>
      <c r="I37" s="259"/>
      <c r="J37" s="88"/>
      <c r="K37" s="87"/>
      <c r="L37" s="88"/>
      <c r="M37" s="87"/>
      <c r="N37" s="89"/>
      <c r="O37" s="90"/>
      <c r="P37" s="99"/>
      <c r="Q37" s="100"/>
      <c r="R37" s="40"/>
      <c r="S37" s="11"/>
      <c r="T37" s="51"/>
      <c r="U37" s="53"/>
      <c r="V37" s="51"/>
      <c r="W37" s="53"/>
      <c r="X37" s="40"/>
      <c r="Y37" s="11"/>
    </row>
    <row r="38" spans="2:25" ht="12.75">
      <c r="B38" s="31"/>
      <c r="C38" s="158"/>
      <c r="D38" s="159"/>
      <c r="E38" s="159"/>
      <c r="F38" s="159"/>
      <c r="G38" s="160"/>
      <c r="H38" s="160"/>
      <c r="I38" s="161"/>
      <c r="J38" s="162"/>
      <c r="K38" s="163"/>
      <c r="L38" s="162"/>
      <c r="M38" s="163"/>
      <c r="N38" s="164"/>
      <c r="O38" s="165"/>
      <c r="P38" s="166"/>
      <c r="Q38" s="167"/>
      <c r="R38" s="57"/>
      <c r="S38" s="15"/>
      <c r="T38" s="166"/>
      <c r="U38" s="167"/>
      <c r="V38" s="166"/>
      <c r="W38" s="167"/>
      <c r="X38" s="57"/>
      <c r="Y38" s="15"/>
    </row>
    <row r="39" spans="2:17" ht="12.75">
      <c r="B39" s="31"/>
      <c r="C39" s="105"/>
      <c r="D39" s="8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ht="12.75">
      <c r="B40" s="31"/>
    </row>
    <row r="41" spans="2:9" ht="12.75" customHeight="1">
      <c r="B41" s="31"/>
      <c r="C41" s="252" t="str">
        <f>$B$4&amp;" "&amp;$B$5</f>
        <v>Men A</v>
      </c>
      <c r="D41" s="253"/>
      <c r="E41" s="254"/>
      <c r="F41" s="32"/>
      <c r="G41" s="5"/>
      <c r="H41" s="5"/>
      <c r="I41" s="6"/>
    </row>
    <row r="42" spans="2:9" ht="12.75" customHeight="1">
      <c r="B42" s="31" t="s">
        <v>87</v>
      </c>
      <c r="C42" s="255"/>
      <c r="D42" s="256"/>
      <c r="E42" s="257"/>
      <c r="F42" s="97" t="s">
        <v>32</v>
      </c>
      <c r="G42" s="10" t="str">
        <f>$G$12</f>
        <v>Team</v>
      </c>
      <c r="H42" s="10" t="str">
        <f>$H$12</f>
        <v>City</v>
      </c>
      <c r="I42" s="11" t="str">
        <f>$I$12</f>
        <v>Country</v>
      </c>
    </row>
    <row r="43" spans="2:9" ht="12.75">
      <c r="B43" s="146">
        <v>9</v>
      </c>
      <c r="C43" s="32"/>
      <c r="D43" s="25"/>
      <c r="E43" s="136">
        <f>$B$43</f>
        <v>9</v>
      </c>
      <c r="F43" s="71" t="str">
        <f>$B$6&amp;E43-$B$43+1</f>
        <v>AB1</v>
      </c>
      <c r="G43" s="5" t="str">
        <f>R28</f>
        <v>W710 (no. 1)</v>
      </c>
      <c r="H43" s="5" t="e">
        <f>VLOOKUP(G43,$G$13:$I$17,2,FALSE)</f>
        <v>#N/A</v>
      </c>
      <c r="I43" s="6" t="e">
        <f>VLOOKUP(G43,$G$13:$I$17,3,FALSE)</f>
        <v>#N/A</v>
      </c>
    </row>
    <row r="44" spans="2:9" ht="12.75">
      <c r="B44" s="31"/>
      <c r="C44" s="57"/>
      <c r="D44" s="27"/>
      <c r="E44" s="138">
        <f>E43+1</f>
        <v>10</v>
      </c>
      <c r="F44" s="73" t="str">
        <f>$B$6&amp;E44-$B$43+1</f>
        <v>AB2</v>
      </c>
      <c r="G44" s="14" t="str">
        <f>S28</f>
        <v>L710 (no. 2)</v>
      </c>
      <c r="H44" s="14" t="e">
        <f>VLOOKUP(G44,$G$13:$I$17,2,FALSE)</f>
        <v>#N/A</v>
      </c>
      <c r="I44" s="15" t="e">
        <f>VLOOKUP(G44,$G$13:$I$17,3,FALSE)</f>
        <v>#N/A</v>
      </c>
    </row>
    <row r="45" spans="2:14" ht="12.75">
      <c r="B45" s="31"/>
      <c r="C45" s="248" t="s">
        <v>112</v>
      </c>
      <c r="D45" s="248"/>
      <c r="E45" s="248"/>
      <c r="G45" s="184" t="str">
        <f>S23</f>
        <v>L609 (no. 3 - 5)</v>
      </c>
      <c r="H45" s="185" t="e">
        <f>VLOOKUP(G45,$G$13:$I$17,2,FALSE)</f>
        <v>#N/A</v>
      </c>
      <c r="I45" s="185" t="e">
        <f>VLOOKUP(G45,$G$13:$I$17,3,FALSE)</f>
        <v>#N/A</v>
      </c>
      <c r="N45" s="184" t="s">
        <v>114</v>
      </c>
    </row>
    <row r="46" spans="3:9" ht="12.75">
      <c r="C46" s="247"/>
      <c r="D46" s="247"/>
      <c r="E46" s="247"/>
      <c r="G46" s="184" t="str">
        <f>S24</f>
        <v>L610 (no. 3 - 5)</v>
      </c>
      <c r="H46" s="185" t="e">
        <f>VLOOKUP(G46,$G$13:$I$17,2,FALSE)</f>
        <v>#N/A</v>
      </c>
      <c r="I46" s="185" t="e">
        <f>VLOOKUP(G46,$G$13:$I$17,3,FALSE)</f>
        <v>#N/A</v>
      </c>
    </row>
    <row r="47" spans="3:9" ht="12.75">
      <c r="C47" s="247"/>
      <c r="D47" s="247"/>
      <c r="E47" s="247"/>
      <c r="G47" s="184" t="str">
        <f>G17</f>
        <v>Stockholm Spikers</v>
      </c>
      <c r="H47" s="185" t="str">
        <f>VLOOKUP(G47,$G$13:$I$17,2,FALSE)</f>
        <v>Stockholm</v>
      </c>
      <c r="I47" s="185" t="str">
        <f>VLOOKUP(G47,$G$13:$I$17,3,FALSE)</f>
        <v>Sweden</v>
      </c>
    </row>
  </sheetData>
  <mergeCells count="13">
    <mergeCell ref="X20:Y20"/>
    <mergeCell ref="N20:O20"/>
    <mergeCell ref="P20:Q20"/>
    <mergeCell ref="C45:E47"/>
    <mergeCell ref="C41:E42"/>
    <mergeCell ref="J20:K20"/>
    <mergeCell ref="L20:M20"/>
    <mergeCell ref="F37:I37"/>
    <mergeCell ref="C4:F6"/>
    <mergeCell ref="C7:F8"/>
    <mergeCell ref="T20:U20"/>
    <mergeCell ref="V20:W20"/>
    <mergeCell ref="C11:F12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39" min="2" max="18" man="1"/>
  </rowBreaks>
  <colBreaks count="1" manualBreakCount="1">
    <brk id="17" min="3" max="4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M55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11</v>
      </c>
      <c r="C4" s="260" t="str">
        <f>$B$4&amp;" "&amp;$B$5</f>
        <v>Women B</v>
      </c>
      <c r="D4" s="261"/>
      <c r="E4" s="261"/>
      <c r="F4" s="262"/>
      <c r="G4" s="5"/>
      <c r="H4" s="17" t="str">
        <f>$A$8&amp;":"</f>
        <v>Venue:</v>
      </c>
      <c r="I4" s="6" t="str">
        <f>$B$8</f>
        <v>Olympos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67</v>
      </c>
      <c r="C5" s="263"/>
      <c r="D5" s="264"/>
      <c r="E5" s="264"/>
      <c r="F5" s="265"/>
      <c r="G5" s="10"/>
      <c r="H5" s="19" t="str">
        <f>$A$9&amp;":"</f>
        <v>Court:</v>
      </c>
      <c r="I5" s="20" t="str">
        <f>$B$9&amp;" / "&amp;$B$9+1</f>
        <v>4 / 5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95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0.375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tr">
        <f>$B$49&amp;" - "&amp;$B$49+5&amp;" ranking"</f>
        <v>5 - 10 ranking</v>
      </c>
      <c r="D7" s="267"/>
      <c r="E7" s="267"/>
      <c r="F7" s="268"/>
      <c r="G7" s="140"/>
      <c r="H7" s="25" t="str">
        <f>"Each match consists of 2 sets of at most "&amp;$B$13&amp;" points."</f>
        <v>Each match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15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4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0.375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1</v>
      </c>
      <c r="C11" s="272" t="str">
        <f>$A$6&amp;" "&amp;$B$6</f>
        <v>Group FY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226</v>
      </c>
      <c r="H13" s="5" t="s">
        <v>155</v>
      </c>
      <c r="I13" s="6" t="s">
        <v>123</v>
      </c>
      <c r="J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227</v>
      </c>
      <c r="H14" s="10" t="s">
        <v>119</v>
      </c>
      <c r="I14" s="11" t="s">
        <v>120</v>
      </c>
      <c r="J14" s="30"/>
      <c r="K14" s="10"/>
      <c r="L14" s="10"/>
      <c r="M14" s="10"/>
      <c r="N14" s="10"/>
      <c r="O14" s="10"/>
      <c r="P14" s="10"/>
      <c r="Q14" s="1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228</v>
      </c>
      <c r="H15" s="10" t="s">
        <v>119</v>
      </c>
      <c r="I15" s="11" t="s">
        <v>120</v>
      </c>
      <c r="J15" s="243"/>
      <c r="K15" s="245"/>
      <c r="L15" s="244" t="str">
        <f>G17</f>
        <v>Lüttje Lage</v>
      </c>
      <c r="M15" s="244" t="str">
        <f>G15</f>
        <v>Netzo Hot</v>
      </c>
      <c r="N15" s="244"/>
      <c r="O15" s="245"/>
      <c r="P15" s="244" t="str">
        <f>G14</f>
        <v>Nauw Mijt!</v>
      </c>
      <c r="Q15" s="244" t="str">
        <f>G18</f>
        <v>Netzo Free</v>
      </c>
      <c r="R15" s="30"/>
      <c r="S15" s="30"/>
      <c r="T15" s="30"/>
      <c r="U15" s="31"/>
    </row>
    <row r="16" spans="2:21" ht="12.75">
      <c r="B16" s="3"/>
      <c r="C16" s="40"/>
      <c r="D16" s="10"/>
      <c r="E16" s="10"/>
      <c r="F16" s="50"/>
      <c r="G16" s="40" t="s">
        <v>229</v>
      </c>
      <c r="H16" s="10" t="s">
        <v>230</v>
      </c>
      <c r="I16" s="11" t="s">
        <v>120</v>
      </c>
      <c r="J16" s="243"/>
      <c r="K16" s="244" t="str">
        <f>G13</f>
        <v>Domelfen</v>
      </c>
      <c r="L16" s="301" t="str">
        <f>R24</f>
        <v>W104 (no. 1 - 4)</v>
      </c>
      <c r="M16" s="301"/>
      <c r="N16" s="244"/>
      <c r="O16" s="244" t="str">
        <f>G16</f>
        <v>Net Even Anders</v>
      </c>
      <c r="P16" s="301" t="str">
        <f>R25</f>
        <v>W105 (no. 1 - 4)</v>
      </c>
      <c r="Q16" s="301"/>
      <c r="R16" s="30"/>
      <c r="S16" s="30"/>
      <c r="T16" s="30"/>
      <c r="U16" s="31"/>
    </row>
    <row r="17" spans="2:21" ht="12.75">
      <c r="B17" s="3"/>
      <c r="C17" s="40"/>
      <c r="D17" s="10"/>
      <c r="E17" s="10"/>
      <c r="F17" s="50"/>
      <c r="G17" s="40" t="s">
        <v>231</v>
      </c>
      <c r="H17" s="10" t="s">
        <v>207</v>
      </c>
      <c r="I17" s="11" t="s">
        <v>123</v>
      </c>
      <c r="J17" s="243"/>
      <c r="K17" s="244"/>
      <c r="L17" s="244" t="str">
        <f>R27</f>
        <v>W204 (no. 1 - 2)</v>
      </c>
      <c r="M17" s="244"/>
      <c r="N17" s="244"/>
      <c r="O17" s="244"/>
      <c r="P17" s="244" t="str">
        <f>R29</f>
        <v>W205 (no. 1 - 2)</v>
      </c>
      <c r="Q17" s="244"/>
      <c r="R17" s="30"/>
      <c r="S17" s="30"/>
      <c r="T17" s="30"/>
      <c r="U17" s="31"/>
    </row>
    <row r="18" spans="2:21" ht="12.75">
      <c r="B18" s="3"/>
      <c r="C18" s="57"/>
      <c r="D18" s="14"/>
      <c r="E18" s="14"/>
      <c r="F18" s="39"/>
      <c r="G18" s="57" t="s">
        <v>232</v>
      </c>
      <c r="H18" s="14" t="s">
        <v>119</v>
      </c>
      <c r="I18" s="15" t="s">
        <v>120</v>
      </c>
      <c r="J18" s="243"/>
      <c r="K18" s="243"/>
      <c r="L18" s="246"/>
      <c r="M18" s="243"/>
      <c r="N18" s="243" t="str">
        <f>R39</f>
        <v>W504 (no. 1)</v>
      </c>
      <c r="O18" s="243"/>
      <c r="P18" s="246"/>
      <c r="Q18" s="243"/>
      <c r="R18" s="30"/>
      <c r="S18" s="30"/>
      <c r="T18" s="30"/>
      <c r="U18" s="31"/>
    </row>
    <row r="19" spans="3:39" s="65" customFormat="1" ht="12.75">
      <c r="C19" s="19"/>
      <c r="D19" s="66"/>
      <c r="E19" s="66"/>
      <c r="F19" s="67"/>
      <c r="G19" s="68"/>
      <c r="H19" s="66"/>
      <c r="I19" s="66"/>
      <c r="J19" s="69"/>
      <c r="K19" s="69"/>
      <c r="L19" s="69"/>
      <c r="M19" s="69"/>
      <c r="N19" s="69"/>
      <c r="O19" s="69"/>
      <c r="P19" s="69"/>
      <c r="Q19" s="19"/>
      <c r="AA1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0"/>
    </row>
    <row r="20" spans="3:39" s="65" customFormat="1" ht="12.75">
      <c r="C20" s="19"/>
      <c r="D20" s="66"/>
      <c r="E20" s="66"/>
      <c r="F20" s="67"/>
      <c r="G20" s="68"/>
      <c r="H20" s="66"/>
      <c r="I20" s="66"/>
      <c r="J20" s="69"/>
      <c r="K20" s="69"/>
      <c r="L20" s="69"/>
      <c r="M20" s="69"/>
      <c r="N20" s="69"/>
      <c r="O20" s="69"/>
      <c r="P20" s="69"/>
      <c r="Q20" s="1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70"/>
    </row>
    <row r="21" spans="3:35" ht="12.75">
      <c r="C21" s="32"/>
      <c r="D21" s="5"/>
      <c r="E21" s="5"/>
      <c r="F21" s="5"/>
      <c r="G21" s="5"/>
      <c r="H21" s="5"/>
      <c r="I21" s="6"/>
      <c r="J21" s="249" t="s">
        <v>39</v>
      </c>
      <c r="K21" s="250"/>
      <c r="L21" s="249" t="s">
        <v>40</v>
      </c>
      <c r="M21" s="250"/>
      <c r="N21" s="249" t="s">
        <v>78</v>
      </c>
      <c r="O21" s="250"/>
      <c r="P21" s="249" t="s">
        <v>31</v>
      </c>
      <c r="Q21" s="250"/>
      <c r="R21" s="32"/>
      <c r="S21" s="6"/>
      <c r="T21" s="249" t="s">
        <v>39</v>
      </c>
      <c r="U21" s="250"/>
      <c r="V21" s="249" t="s">
        <v>40</v>
      </c>
      <c r="W21" s="250"/>
      <c r="X21" s="249" t="s">
        <v>24</v>
      </c>
      <c r="Y21" s="250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3:25" ht="12.75">
      <c r="C22" s="73" t="s">
        <v>18</v>
      </c>
      <c r="D22" s="74" t="s">
        <v>43</v>
      </c>
      <c r="E22" s="74" t="s">
        <v>17</v>
      </c>
      <c r="F22" s="75" t="s">
        <v>44</v>
      </c>
      <c r="G22" s="76" t="s">
        <v>45</v>
      </c>
      <c r="H22" s="77" t="s">
        <v>46</v>
      </c>
      <c r="I22" s="78" t="s">
        <v>47</v>
      </c>
      <c r="J22" s="79" t="s">
        <v>48</v>
      </c>
      <c r="K22" s="80" t="s">
        <v>49</v>
      </c>
      <c r="L22" s="79" t="s">
        <v>48</v>
      </c>
      <c r="M22" s="80" t="s">
        <v>49</v>
      </c>
      <c r="N22" s="79" t="s">
        <v>48</v>
      </c>
      <c r="O22" s="80" t="s">
        <v>49</v>
      </c>
      <c r="P22" s="81" t="s">
        <v>48</v>
      </c>
      <c r="Q22" s="82" t="s">
        <v>49</v>
      </c>
      <c r="R22" s="57" t="s">
        <v>79</v>
      </c>
      <c r="S22" s="15" t="s">
        <v>80</v>
      </c>
      <c r="T22" s="79" t="s">
        <v>48</v>
      </c>
      <c r="U22" s="80" t="s">
        <v>49</v>
      </c>
      <c r="V22" s="79" t="s">
        <v>48</v>
      </c>
      <c r="W22" s="80" t="s">
        <v>49</v>
      </c>
      <c r="X22" s="79" t="s">
        <v>48</v>
      </c>
      <c r="Y22" s="80" t="s">
        <v>49</v>
      </c>
    </row>
    <row r="23" spans="3:25" ht="12.75">
      <c r="C23" s="71"/>
      <c r="D23" s="25"/>
      <c r="E23" s="25"/>
      <c r="F23" s="25"/>
      <c r="G23" s="5"/>
      <c r="H23" s="5"/>
      <c r="I23" s="6"/>
      <c r="J23" s="71"/>
      <c r="K23" s="72"/>
      <c r="L23" s="71"/>
      <c r="M23" s="72"/>
      <c r="N23" s="83"/>
      <c r="O23" s="17"/>
      <c r="P23" s="71"/>
      <c r="Q23" s="72"/>
      <c r="R23" s="32"/>
      <c r="S23" s="6"/>
      <c r="T23" s="32"/>
      <c r="U23" s="6"/>
      <c r="V23" s="32"/>
      <c r="W23" s="6"/>
      <c r="X23" s="40"/>
      <c r="Y23" s="11"/>
    </row>
    <row r="24" spans="3:25" ht="12.75">
      <c r="C24" s="84">
        <f>$B$10+(D24-$B$11)*($B$12/60/24+TIME(0,5,0))</f>
        <v>0.375</v>
      </c>
      <c r="D24" s="85">
        <f>$B$11</f>
        <v>1</v>
      </c>
      <c r="E24" s="85">
        <f>$B$9</f>
        <v>4</v>
      </c>
      <c r="F24" s="85">
        <f>$E24+$D24*100</f>
        <v>104</v>
      </c>
      <c r="G24" s="86" t="str">
        <f>G17</f>
        <v>Lüttje Lage</v>
      </c>
      <c r="H24" s="86" t="str">
        <f>G15</f>
        <v>Netzo Hot</v>
      </c>
      <c r="I24" s="87" t="str">
        <f>G13</f>
        <v>Domelfen</v>
      </c>
      <c r="J24" s="88"/>
      <c r="K24" s="87"/>
      <c r="L24" s="88"/>
      <c r="M24" s="87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1 - 4)"))))))</f>
        <v>W104 (no. 1 - 4)</v>
      </c>
      <c r="S24" s="11" t="str">
        <f>IF(P24&gt;Q24,H24,IF(P24&lt;Q24,G24,IF(N24&gt;O24,H24,IF(N24&lt;O24,G24,IF(X24&gt;Y24,H24,IF(X24&lt;Y24,G24,"L"&amp;F24&amp;" (no. 5 - 6)"))))))</f>
        <v>L104 (no. 5 - 6)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3:25" ht="12.75">
      <c r="C25" s="84"/>
      <c r="D25" s="85">
        <f>$B$11</f>
        <v>1</v>
      </c>
      <c r="E25" s="85">
        <f>$B$9+1</f>
        <v>5</v>
      </c>
      <c r="F25" s="85">
        <f>$E25+$D25*100</f>
        <v>105</v>
      </c>
      <c r="G25" s="86" t="str">
        <f>G14</f>
        <v>Nauw Mijt!</v>
      </c>
      <c r="H25" s="86" t="str">
        <f>G18</f>
        <v>Netzo Free</v>
      </c>
      <c r="I25" s="87" t="str">
        <f>G16</f>
        <v>Net Even Anders</v>
      </c>
      <c r="J25" s="88"/>
      <c r="K25" s="87"/>
      <c r="L25" s="88"/>
      <c r="M25" s="87"/>
      <c r="N25" s="188">
        <f>SUM(J25,L25)</f>
        <v>0</v>
      </c>
      <c r="O25" s="189">
        <f>SUM(K25,M25)</f>
        <v>0</v>
      </c>
      <c r="P25" s="190">
        <f>SUM(T25,V25)</f>
        <v>2</v>
      </c>
      <c r="Q25" s="191">
        <f>SUM(U25,W25)</f>
        <v>2</v>
      </c>
      <c r="R25" s="40" t="str">
        <f>IF(P25&gt;Q25,G25,IF(P25&lt;Q25,H25,IF(N25&gt;O25,G25,IF(N25&lt;O25,H25,IF(X25&gt;Y25,G25,IF(X25&lt;Y25,H25,"W"&amp;F25&amp;" (no. 1 - 4)"))))))</f>
        <v>W105 (no. 1 - 4)</v>
      </c>
      <c r="S25" s="11" t="str">
        <f>IF(P25&gt;Q25,H25,IF(P25&lt;Q25,G25,IF(N25&gt;O25,H25,IF(N25&lt;O25,G25,IF(X25&gt;Y25,H25,IF(X25&lt;Y25,G25,"L"&amp;F25&amp;" (no. 5 - 6)"))))))</f>
        <v>L105 (no. 5 - 6)</v>
      </c>
      <c r="T25" s="51">
        <f>IF(J25&gt;K25,2,IF(J25=K25,1,0))</f>
        <v>1</v>
      </c>
      <c r="U25" s="53">
        <f>IF(K25&gt;J25,2,IF(K25=J25,1,0))</f>
        <v>1</v>
      </c>
      <c r="V25" s="51">
        <f>IF(L25&gt;M25,2,IF(L25=M25,1,0))</f>
        <v>1</v>
      </c>
      <c r="W25" s="53">
        <f>IF(M25&gt;L25,2,IF(M25=L25,1,0))</f>
        <v>1</v>
      </c>
      <c r="X25" s="40"/>
      <c r="Y25" s="11"/>
    </row>
    <row r="26" spans="2:25" ht="12.75">
      <c r="B26" s="31"/>
      <c r="C26" s="84"/>
      <c r="D26" s="85"/>
      <c r="E26" s="85"/>
      <c r="F26" s="85"/>
      <c r="G26" s="30"/>
      <c r="H26" s="30"/>
      <c r="I26" s="87"/>
      <c r="J26" s="92"/>
      <c r="K26" s="93"/>
      <c r="L26" s="92"/>
      <c r="M26" s="93"/>
      <c r="N26" s="188"/>
      <c r="O26" s="189"/>
      <c r="P26" s="190"/>
      <c r="Q26" s="191"/>
      <c r="R26" s="40"/>
      <c r="S26" s="11"/>
      <c r="T26" s="51"/>
      <c r="U26" s="53"/>
      <c r="V26" s="51"/>
      <c r="W26" s="53"/>
      <c r="X26" s="40"/>
      <c r="Y26" s="11"/>
    </row>
    <row r="27" spans="2:25" ht="12.75">
      <c r="B27" s="31"/>
      <c r="C27" s="84">
        <f>$B$10+(D27-$B$11)*($B$12/60/24+TIME(0,5,0))</f>
        <v>0.4027777777777778</v>
      </c>
      <c r="D27" s="145">
        <f>$B$11+1</f>
        <v>2</v>
      </c>
      <c r="E27" s="85">
        <f>$B$9</f>
        <v>4</v>
      </c>
      <c r="F27" s="85">
        <f>$E27+$D27*100</f>
        <v>204</v>
      </c>
      <c r="G27" s="30" t="str">
        <f>G13</f>
        <v>Domelfen</v>
      </c>
      <c r="H27" s="30" t="str">
        <f>R24</f>
        <v>W104 (no. 1 - 4)</v>
      </c>
      <c r="I27" s="87" t="str">
        <f>S24</f>
        <v>L104 (no. 5 - 6)</v>
      </c>
      <c r="J27" s="92"/>
      <c r="K27" s="93"/>
      <c r="L27" s="92"/>
      <c r="M27" s="93"/>
      <c r="N27" s="188">
        <f>SUM(J27,L27)</f>
        <v>0</v>
      </c>
      <c r="O27" s="189">
        <f>SUM(K27,M27)</f>
        <v>0</v>
      </c>
      <c r="P27" s="190">
        <f>SUM(T27,V27)</f>
        <v>2</v>
      </c>
      <c r="Q27" s="191">
        <f>SUM(U27,W27)</f>
        <v>2</v>
      </c>
      <c r="R27" s="40" t="str">
        <f>IF(P27&gt;Q27,G27,IF(P27&lt;Q27,H27,IF(N27&gt;O27,G27,IF(N27&lt;O27,H27,IF(X27&gt;Y27,G27,IF(X27&lt;Y27,H27,"W"&amp;F27&amp;" (no. 1 - 2)"))))))</f>
        <v>W204 (no. 1 - 2)</v>
      </c>
      <c r="S27" s="11" t="str">
        <f>IF(P27&gt;Q27,H27,IF(P27&lt;Q27,G27,IF(N27&gt;O27,H27,IF(N27&lt;O27,G27,IF(X27&gt;Y27,H27,IF(X27&lt;Y27,G27,"L"&amp;F27&amp;" (no. 3 - 4)"))))))</f>
        <v>L204 (no. 3 - 4)</v>
      </c>
      <c r="T27" s="51">
        <f>IF(J27&gt;K27,2,IF(J27=K27,1,0))</f>
        <v>1</v>
      </c>
      <c r="U27" s="53">
        <f>IF(K27&gt;J27,2,IF(K27=J27,1,0))</f>
        <v>1</v>
      </c>
      <c r="V27" s="51">
        <f>IF(L27&gt;M27,2,IF(L27=M27,1,0))</f>
        <v>1</v>
      </c>
      <c r="W27" s="53">
        <f>IF(M27&gt;L27,2,IF(M27=L27,1,0))</f>
        <v>1</v>
      </c>
      <c r="X27" s="40"/>
      <c r="Y27" s="11"/>
    </row>
    <row r="28" spans="2:25" ht="24.75" customHeight="1">
      <c r="B28" s="31"/>
      <c r="C28" s="84"/>
      <c r="D28" s="145"/>
      <c r="E28" s="85"/>
      <c r="F28" s="85"/>
      <c r="G28" s="30"/>
      <c r="H28" s="160"/>
      <c r="I28" s="161"/>
      <c r="J28" s="92"/>
      <c r="K28" s="93"/>
      <c r="L28" s="92"/>
      <c r="M28" s="93"/>
      <c r="N28" s="188"/>
      <c r="O28" s="189"/>
      <c r="P28" s="190"/>
      <c r="Q28" s="191"/>
      <c r="R28" s="40"/>
      <c r="S28" s="11"/>
      <c r="T28" s="51"/>
      <c r="U28" s="53"/>
      <c r="V28" s="51"/>
      <c r="W28" s="53"/>
      <c r="X28" s="40"/>
      <c r="Y28" s="11"/>
    </row>
    <row r="29" spans="2:25" ht="12.75">
      <c r="B29" s="31"/>
      <c r="C29" s="84"/>
      <c r="D29" s="85">
        <f>$B$11+1</f>
        <v>2</v>
      </c>
      <c r="E29" s="85">
        <f>$B$9+1</f>
        <v>5</v>
      </c>
      <c r="F29" s="85">
        <f>$E29+$D29*100</f>
        <v>205</v>
      </c>
      <c r="G29" s="30" t="str">
        <f>G16</f>
        <v>Net Even Anders</v>
      </c>
      <c r="H29" s="30" t="str">
        <f>R25</f>
        <v>W105 (no. 1 - 4)</v>
      </c>
      <c r="I29" s="87" t="str">
        <f>S25</f>
        <v>L105 (no. 5 - 6)</v>
      </c>
      <c r="J29" s="92"/>
      <c r="K29" s="93"/>
      <c r="L29" s="92"/>
      <c r="M29" s="93"/>
      <c r="N29" s="188">
        <f>SUM(J29,L29)</f>
        <v>0</v>
      </c>
      <c r="O29" s="189">
        <f>SUM(K29,M29)</f>
        <v>0</v>
      </c>
      <c r="P29" s="190">
        <f>SUM(T29,V29)</f>
        <v>2</v>
      </c>
      <c r="Q29" s="191">
        <f>SUM(U29,W29)</f>
        <v>2</v>
      </c>
      <c r="R29" s="40" t="str">
        <f>IF(P29&gt;Q29,G29,IF(P29&lt;Q29,H29,IF(N29&gt;O29,G29,IF(N29&lt;O29,H29,IF(X29&gt;Y29,G29,IF(X29&lt;Y29,H29,"W"&amp;F29&amp;" (no. 1 - 2)"))))))</f>
        <v>W205 (no. 1 - 2)</v>
      </c>
      <c r="S29" s="11" t="str">
        <f>IF(P29&gt;Q29,H29,IF(P29&lt;Q29,G29,IF(N29&gt;O29,H29,IF(N29&lt;O29,G29,IF(X29&gt;Y29,H29,IF(X29&lt;Y29,G29,"L"&amp;F29&amp;" (no. 3 - 4)"))))))</f>
        <v>L205 (no. 3 - 4)</v>
      </c>
      <c r="T29" s="51">
        <f>IF(J29&gt;K29,2,IF(J29=K29,1,0))</f>
        <v>1</v>
      </c>
      <c r="U29" s="53">
        <f>IF(K29&gt;J29,2,IF(K29=J29,1,0))</f>
        <v>1</v>
      </c>
      <c r="V29" s="51">
        <f>IF(L29&gt;M29,2,IF(L29=M29,1,0))</f>
        <v>1</v>
      </c>
      <c r="W29" s="53">
        <f>IF(M29&gt;L29,2,IF(M29=L29,1,0))</f>
        <v>1</v>
      </c>
      <c r="X29" s="40"/>
      <c r="Y29" s="11"/>
    </row>
    <row r="30" spans="2:25" ht="24.75" customHeight="1">
      <c r="B30" s="31"/>
      <c r="C30" s="84"/>
      <c r="D30" s="85"/>
      <c r="E30" s="85"/>
      <c r="F30" s="85"/>
      <c r="G30" s="30"/>
      <c r="H30" s="160"/>
      <c r="I30" s="161"/>
      <c r="J30" s="92"/>
      <c r="K30" s="93"/>
      <c r="L30" s="92"/>
      <c r="M30" s="93"/>
      <c r="N30" s="188"/>
      <c r="O30" s="189"/>
      <c r="P30" s="190"/>
      <c r="Q30" s="191"/>
      <c r="R30" s="40"/>
      <c r="S30" s="11"/>
      <c r="T30" s="51"/>
      <c r="U30" s="53"/>
      <c r="V30" s="51"/>
      <c r="W30" s="53"/>
      <c r="X30" s="40"/>
      <c r="Y30" s="11"/>
    </row>
    <row r="31" spans="2:25" ht="12.75">
      <c r="B31" s="31"/>
      <c r="C31" s="84"/>
      <c r="D31" s="85"/>
      <c r="E31" s="85"/>
      <c r="F31" s="85"/>
      <c r="G31" s="30"/>
      <c r="H31" s="30"/>
      <c r="I31" s="87"/>
      <c r="J31" s="92"/>
      <c r="K31" s="93"/>
      <c r="L31" s="92"/>
      <c r="M31" s="93"/>
      <c r="N31" s="169"/>
      <c r="O31" s="85"/>
      <c r="P31" s="99"/>
      <c r="Q31" s="100"/>
      <c r="R31" s="57"/>
      <c r="S31" s="15"/>
      <c r="T31" s="99"/>
      <c r="U31" s="100"/>
      <c r="V31" s="99"/>
      <c r="W31" s="100"/>
      <c r="X31" s="57"/>
      <c r="Y31" s="15"/>
    </row>
    <row r="32" spans="3:25" ht="12.75">
      <c r="C32" s="71"/>
      <c r="D32" s="25"/>
      <c r="E32" s="25"/>
      <c r="F32" s="25"/>
      <c r="G32" s="5"/>
      <c r="H32" s="5"/>
      <c r="I32" s="6"/>
      <c r="J32" s="71"/>
      <c r="K32" s="72"/>
      <c r="L32" s="71"/>
      <c r="M32" s="72"/>
      <c r="N32" s="71"/>
      <c r="O32" s="25"/>
      <c r="P32" s="71"/>
      <c r="Q32" s="72"/>
      <c r="R32" s="32"/>
      <c r="S32" s="6"/>
      <c r="T32" s="32"/>
      <c r="U32" s="6"/>
      <c r="V32" s="32"/>
      <c r="W32" s="6"/>
      <c r="X32" s="32"/>
      <c r="Y32" s="6"/>
    </row>
    <row r="33" spans="3:25" ht="12.75">
      <c r="C33" s="84">
        <f>$B$10+(D33-$B$11)*($B$12/60/24+TIME(0,5,0))</f>
        <v>0.4305555555555556</v>
      </c>
      <c r="D33" s="85">
        <f>$B$11+2</f>
        <v>3</v>
      </c>
      <c r="E33" s="85">
        <f>$B$9</f>
        <v>4</v>
      </c>
      <c r="F33" s="85">
        <f>$E33+$D33*100</f>
        <v>304</v>
      </c>
      <c r="G33" s="86" t="str">
        <f>S24</f>
        <v>L104 (no. 5 - 6)</v>
      </c>
      <c r="H33" s="86" t="str">
        <f>S25</f>
        <v>L105 (no. 5 - 6)</v>
      </c>
      <c r="I33" s="87" t="str">
        <f>R27</f>
        <v>W204 (no. 1 - 2)</v>
      </c>
      <c r="J33" s="88"/>
      <c r="K33" s="87"/>
      <c r="L33" s="88"/>
      <c r="M33" s="87"/>
      <c r="N33" s="188">
        <f>SUM(J33,L33)</f>
        <v>0</v>
      </c>
      <c r="O33" s="189">
        <f>SUM(K33,M33)</f>
        <v>0</v>
      </c>
      <c r="P33" s="190">
        <f>SUM(T33,V33)</f>
        <v>2</v>
      </c>
      <c r="Q33" s="191">
        <f>SUM(U33,W33)</f>
        <v>2</v>
      </c>
      <c r="R33" s="40" t="str">
        <f>IF(P33&gt;Q33,G33,IF(P33&lt;Q33,H33,IF(N33&gt;O33,G33,IF(N33&lt;O33,H33,IF(X33&gt;Y33,G33,IF(X33&lt;Y33,H33,"W"&amp;F33&amp;" (no. 5)"))))))</f>
        <v>W304 (no. 5)</v>
      </c>
      <c r="S33" s="11" t="str">
        <f>IF(P33&gt;Q33,H33,IF(P33&lt;Q33,G33,IF(N33&gt;O33,H33,IF(N33&lt;O33,G33,IF(X33&gt;Y33,H33,IF(X33&lt;Y33,G33,"L"&amp;F33&amp;" (no. 6)"))))))</f>
        <v>L304 (no. 6)</v>
      </c>
      <c r="T33" s="51">
        <f>IF(J33&gt;K33,2,IF(J33=K33,1,0))</f>
        <v>1</v>
      </c>
      <c r="U33" s="53">
        <f>IF(K33&gt;J33,2,IF(K33=J33,1,0))</f>
        <v>1</v>
      </c>
      <c r="V33" s="51">
        <f>IF(L33&gt;M33,2,IF(L33=M33,1,0))</f>
        <v>1</v>
      </c>
      <c r="W33" s="53">
        <f>IF(M33&gt;L33,2,IF(M33=L33,1,0))</f>
        <v>1</v>
      </c>
      <c r="X33" s="40"/>
      <c r="Y33" s="11"/>
    </row>
    <row r="34" spans="3:25" ht="24.75" customHeight="1">
      <c r="C34" s="84"/>
      <c r="D34" s="85"/>
      <c r="E34" s="159"/>
      <c r="F34" s="159"/>
      <c r="G34" s="187"/>
      <c r="H34" s="187"/>
      <c r="I34" s="161"/>
      <c r="J34" s="88"/>
      <c r="K34" s="87"/>
      <c r="L34" s="88"/>
      <c r="M34" s="87"/>
      <c r="N34" s="188"/>
      <c r="O34" s="189"/>
      <c r="P34" s="190"/>
      <c r="Q34" s="191"/>
      <c r="R34" s="40"/>
      <c r="S34" s="11"/>
      <c r="T34" s="51"/>
      <c r="U34" s="53"/>
      <c r="V34" s="51"/>
      <c r="W34" s="53"/>
      <c r="X34" s="40"/>
      <c r="Y34" s="11"/>
    </row>
    <row r="35" spans="3:25" ht="12.75">
      <c r="C35" s="84"/>
      <c r="D35" s="85"/>
      <c r="E35" s="85"/>
      <c r="F35" s="85"/>
      <c r="G35" s="86"/>
      <c r="H35" s="86"/>
      <c r="I35" s="87"/>
      <c r="J35" s="88"/>
      <c r="K35" s="87"/>
      <c r="L35" s="88"/>
      <c r="M35" s="87"/>
      <c r="N35" s="188"/>
      <c r="O35" s="189"/>
      <c r="P35" s="190"/>
      <c r="Q35" s="191"/>
      <c r="R35" s="40"/>
      <c r="S35" s="11"/>
      <c r="T35" s="51"/>
      <c r="U35" s="53"/>
      <c r="V35" s="51"/>
      <c r="W35" s="53"/>
      <c r="X35" s="40"/>
      <c r="Y35" s="11"/>
    </row>
    <row r="36" spans="3:25" ht="12.75">
      <c r="C36" s="84">
        <f>$B$10+(D36-$B$11)*($B$12/60/24+TIME(0,5,0))</f>
        <v>0.4583333333333333</v>
      </c>
      <c r="D36" s="85">
        <f>$B$11+3</f>
        <v>4</v>
      </c>
      <c r="E36" s="85">
        <f>$B$9</f>
        <v>4</v>
      </c>
      <c r="F36" s="85">
        <f>$E36+$D36*100</f>
        <v>404</v>
      </c>
      <c r="G36" s="86" t="str">
        <f>S27</f>
        <v>L204 (no. 3 - 4)</v>
      </c>
      <c r="H36" s="86" t="str">
        <f>S29</f>
        <v>L205 (no. 3 - 4)</v>
      </c>
      <c r="I36" s="87" t="str">
        <f>R29</f>
        <v>W205 (no. 1 - 2)</v>
      </c>
      <c r="J36" s="88"/>
      <c r="K36" s="87"/>
      <c r="L36" s="88"/>
      <c r="M36" s="87"/>
      <c r="N36" s="188">
        <f>SUM(J36,L36)</f>
        <v>0</v>
      </c>
      <c r="O36" s="189">
        <f>SUM(K36,M36)</f>
        <v>0</v>
      </c>
      <c r="P36" s="190">
        <f>SUM(T36,V36)</f>
        <v>2</v>
      </c>
      <c r="Q36" s="191">
        <f>SUM(U36,W36)</f>
        <v>2</v>
      </c>
      <c r="R36" s="40" t="str">
        <f>IF(P36&gt;Q36,G36,IF(P36&lt;Q36,H36,IF(N36&gt;O36,G36,IF(N36&lt;O36,H36,IF(X36&gt;Y36,G36,IF(X36&lt;Y36,H36,"W"&amp;F36&amp;" (no. 3)"))))))</f>
        <v>W404 (no. 3)</v>
      </c>
      <c r="S36" s="11" t="str">
        <f>IF(P36&gt;Q36,H36,IF(P36&lt;Q36,G36,IF(N36&gt;O36,H36,IF(N36&lt;O36,G36,IF(X36&gt;Y36,H36,IF(X36&lt;Y36,G36,"L"&amp;F36&amp;" (no. 4)"))))))</f>
        <v>L404 (no. 4)</v>
      </c>
      <c r="T36" s="51">
        <f>IF(J36&gt;K36,2,IF(J36=K36,1,0))</f>
        <v>1</v>
      </c>
      <c r="U36" s="53">
        <f>IF(K36&gt;J36,2,IF(K36=J36,1,0))</f>
        <v>1</v>
      </c>
      <c r="V36" s="51">
        <f>IF(L36&gt;M36,2,IF(L36=M36,1,0))</f>
        <v>1</v>
      </c>
      <c r="W36" s="53">
        <f>IF(M36&gt;L36,2,IF(M36=L36,1,0))</f>
        <v>1</v>
      </c>
      <c r="X36" s="40"/>
      <c r="Y36" s="11"/>
    </row>
    <row r="37" spans="3:25" ht="24.75" customHeight="1">
      <c r="C37" s="84"/>
      <c r="D37" s="85"/>
      <c r="E37" s="159"/>
      <c r="F37" s="159"/>
      <c r="G37" s="187"/>
      <c r="H37" s="187"/>
      <c r="I37" s="161"/>
      <c r="J37" s="88"/>
      <c r="K37" s="87"/>
      <c r="L37" s="88"/>
      <c r="M37" s="87"/>
      <c r="N37" s="188"/>
      <c r="O37" s="189"/>
      <c r="P37" s="190"/>
      <c r="Q37" s="191"/>
      <c r="R37" s="40"/>
      <c r="S37" s="11"/>
      <c r="T37" s="51"/>
      <c r="U37" s="53"/>
      <c r="V37" s="51"/>
      <c r="W37" s="53"/>
      <c r="X37" s="40"/>
      <c r="Y37" s="11"/>
    </row>
    <row r="38" spans="3:25" ht="12.75">
      <c r="C38" s="84"/>
      <c r="D38" s="85"/>
      <c r="E38" s="85"/>
      <c r="F38" s="85"/>
      <c r="G38" s="86"/>
      <c r="H38" s="86"/>
      <c r="I38" s="87"/>
      <c r="J38" s="88"/>
      <c r="K38" s="87"/>
      <c r="L38" s="88"/>
      <c r="M38" s="87"/>
      <c r="N38" s="188"/>
      <c r="O38" s="189"/>
      <c r="P38" s="190"/>
      <c r="Q38" s="191"/>
      <c r="R38" s="40"/>
      <c r="S38" s="11"/>
      <c r="T38" s="51"/>
      <c r="U38" s="53"/>
      <c r="V38" s="51"/>
      <c r="W38" s="53"/>
      <c r="X38" s="40"/>
      <c r="Y38" s="11"/>
    </row>
    <row r="39" spans="3:25" ht="12.75">
      <c r="C39" s="84">
        <f>$B$10+(D39-$B$11)*($B$12/60/24+TIME(0,5,0))</f>
        <v>0.4861111111111111</v>
      </c>
      <c r="D39" s="85">
        <f>$B$11+4</f>
        <v>5</v>
      </c>
      <c r="E39" s="85">
        <f>$B$9</f>
        <v>4</v>
      </c>
      <c r="F39" s="85">
        <f>$E39+$D39*100</f>
        <v>504</v>
      </c>
      <c r="G39" s="86" t="str">
        <f>R27</f>
        <v>W204 (no. 1 - 2)</v>
      </c>
      <c r="H39" s="86" t="str">
        <f>R29</f>
        <v>W205 (no. 1 - 2)</v>
      </c>
      <c r="I39" s="87" t="str">
        <f>S27</f>
        <v>L204 (no. 3 - 4)</v>
      </c>
      <c r="J39" s="88"/>
      <c r="K39" s="87"/>
      <c r="L39" s="88"/>
      <c r="M39" s="87"/>
      <c r="N39" s="188">
        <f>SUM(J39,L39)</f>
        <v>0</v>
      </c>
      <c r="O39" s="189">
        <f>SUM(K39,M39)</f>
        <v>0</v>
      </c>
      <c r="P39" s="190">
        <f>SUM(T39,V39)</f>
        <v>2</v>
      </c>
      <c r="Q39" s="191">
        <f>SUM(U39,W39)</f>
        <v>2</v>
      </c>
      <c r="R39" s="40" t="str">
        <f>IF(P39&gt;Q39,G39,IF(P39&lt;Q39,H39,IF(N39&gt;O39,G39,IF(N39&lt;O39,H39,IF(X39&gt;Y39,G39,IF(X39&lt;Y39,H39,"W"&amp;F39&amp;" (no. 1)"))))))</f>
        <v>W504 (no. 1)</v>
      </c>
      <c r="S39" s="11" t="str">
        <f>IF(P39&gt;Q39,H39,IF(P39&lt;Q39,G39,IF(N39&gt;O39,H39,IF(N39&lt;O39,G39,IF(X39&gt;Y39,H39,IF(X39&lt;Y39,G39,"L"&amp;F39&amp;" (no. 2)"))))))</f>
        <v>L504 (no. 2)</v>
      </c>
      <c r="T39" s="51">
        <f>IF(J39&gt;K39,2,IF(J39=K39,1,0))</f>
        <v>1</v>
      </c>
      <c r="U39" s="53">
        <f>IF(K39&gt;J39,2,IF(K39=J39,1,0))</f>
        <v>1</v>
      </c>
      <c r="V39" s="51">
        <f>IF(L39&gt;M39,2,IF(L39=M39,1,0))</f>
        <v>1</v>
      </c>
      <c r="W39" s="53">
        <f>IF(M39&gt;L39,2,IF(M39=L39,1,0))</f>
        <v>1</v>
      </c>
      <c r="X39" s="40"/>
      <c r="Y39" s="11"/>
    </row>
    <row r="40" spans="3:25" ht="24.75" customHeight="1">
      <c r="C40" s="84"/>
      <c r="D40" s="85"/>
      <c r="E40" s="159"/>
      <c r="F40" s="159"/>
      <c r="G40" s="187"/>
      <c r="H40" s="187"/>
      <c r="I40" s="161"/>
      <c r="J40" s="88"/>
      <c r="K40" s="87"/>
      <c r="L40" s="88"/>
      <c r="M40" s="87"/>
      <c r="N40" s="188"/>
      <c r="O40" s="189"/>
      <c r="P40" s="190"/>
      <c r="Q40" s="191"/>
      <c r="R40" s="40"/>
      <c r="S40" s="11"/>
      <c r="T40" s="51"/>
      <c r="U40" s="53"/>
      <c r="V40" s="51"/>
      <c r="W40" s="53"/>
      <c r="X40" s="40"/>
      <c r="Y40" s="11"/>
    </row>
    <row r="41" spans="3:25" ht="12.75">
      <c r="C41" s="84"/>
      <c r="D41" s="85"/>
      <c r="E41" s="85"/>
      <c r="F41" s="85"/>
      <c r="G41" s="86"/>
      <c r="H41" s="86"/>
      <c r="I41" s="87"/>
      <c r="J41" s="88"/>
      <c r="K41" s="87"/>
      <c r="L41" s="88"/>
      <c r="M41" s="87"/>
      <c r="N41" s="169"/>
      <c r="O41" s="85"/>
      <c r="P41" s="99"/>
      <c r="Q41" s="100"/>
      <c r="R41" s="40"/>
      <c r="S41" s="11"/>
      <c r="T41" s="51"/>
      <c r="U41" s="53"/>
      <c r="V41" s="51"/>
      <c r="W41" s="53"/>
      <c r="X41" s="40"/>
      <c r="Y41" s="11"/>
    </row>
    <row r="42" spans="3:25" ht="12.75" customHeight="1">
      <c r="C42" s="84">
        <f>$B$10+(D42-$B$11)*($B$12/60/24+TIME(0,5,0))</f>
        <v>0.5138888888888888</v>
      </c>
      <c r="D42" s="201">
        <f>$B$11+5</f>
        <v>6</v>
      </c>
      <c r="E42" s="102" t="s">
        <v>51</v>
      </c>
      <c r="F42" s="258" t="s">
        <v>98</v>
      </c>
      <c r="G42" s="258"/>
      <c r="H42" s="258"/>
      <c r="I42" s="259"/>
      <c r="J42" s="88"/>
      <c r="K42" s="87"/>
      <c r="L42" s="88"/>
      <c r="M42" s="87"/>
      <c r="N42" s="89"/>
      <c r="O42" s="90"/>
      <c r="P42" s="99"/>
      <c r="Q42" s="100"/>
      <c r="R42" s="40"/>
      <c r="S42" s="11"/>
      <c r="T42" s="51"/>
      <c r="U42" s="53"/>
      <c r="V42" s="51"/>
      <c r="W42" s="53"/>
      <c r="X42" s="40"/>
      <c r="Y42" s="11"/>
    </row>
    <row r="43" spans="3:25" ht="12.75" customHeight="1">
      <c r="C43" s="84"/>
      <c r="D43" s="85"/>
      <c r="E43" s="102"/>
      <c r="F43" s="258" t="s">
        <v>97</v>
      </c>
      <c r="G43" s="258"/>
      <c r="H43" s="258"/>
      <c r="I43" s="259"/>
      <c r="J43" s="88"/>
      <c r="K43" s="87"/>
      <c r="L43" s="88"/>
      <c r="M43" s="87"/>
      <c r="N43" s="89"/>
      <c r="O43" s="90"/>
      <c r="P43" s="99"/>
      <c r="Q43" s="100"/>
      <c r="R43" s="40"/>
      <c r="S43" s="11"/>
      <c r="T43" s="51"/>
      <c r="U43" s="53"/>
      <c r="V43" s="51"/>
      <c r="W43" s="53"/>
      <c r="X43" s="40"/>
      <c r="Y43" s="11"/>
    </row>
    <row r="44" spans="2:25" ht="12.75">
      <c r="B44" s="31"/>
      <c r="C44" s="158"/>
      <c r="D44" s="159"/>
      <c r="E44" s="159"/>
      <c r="F44" s="159"/>
      <c r="G44" s="160"/>
      <c r="H44" s="160"/>
      <c r="I44" s="161"/>
      <c r="J44" s="162"/>
      <c r="K44" s="163"/>
      <c r="L44" s="162"/>
      <c r="M44" s="163"/>
      <c r="N44" s="164"/>
      <c r="O44" s="165"/>
      <c r="P44" s="166"/>
      <c r="Q44" s="167"/>
      <c r="R44" s="57"/>
      <c r="S44" s="15"/>
      <c r="T44" s="166"/>
      <c r="U44" s="167"/>
      <c r="V44" s="166"/>
      <c r="W44" s="167"/>
      <c r="X44" s="57"/>
      <c r="Y44" s="15"/>
    </row>
    <row r="45" spans="2:17" ht="12.75">
      <c r="B45" s="31"/>
      <c r="C45" s="105"/>
      <c r="D45" s="85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ht="12.75">
      <c r="B46" s="31"/>
    </row>
    <row r="47" spans="2:9" ht="12.75" customHeight="1">
      <c r="B47" s="31"/>
      <c r="C47" s="252" t="str">
        <f>$B$4&amp;" "&amp;$B$5</f>
        <v>Women B</v>
      </c>
      <c r="D47" s="253"/>
      <c r="E47" s="254"/>
      <c r="F47" s="32"/>
      <c r="G47" s="5"/>
      <c r="H47" s="5"/>
      <c r="I47" s="6"/>
    </row>
    <row r="48" spans="2:9" ht="12.75" customHeight="1">
      <c r="B48" s="31" t="s">
        <v>87</v>
      </c>
      <c r="C48" s="255"/>
      <c r="D48" s="256"/>
      <c r="E48" s="257"/>
      <c r="F48" s="97" t="s">
        <v>32</v>
      </c>
      <c r="G48" s="10" t="str">
        <f>$G$12</f>
        <v>Team</v>
      </c>
      <c r="H48" s="10" t="str">
        <f>$H$12</f>
        <v>City</v>
      </c>
      <c r="I48" s="11" t="str">
        <f>$I$12</f>
        <v>Country</v>
      </c>
    </row>
    <row r="49" spans="2:9" ht="12.75">
      <c r="B49" s="146">
        <v>5</v>
      </c>
      <c r="C49" s="32"/>
      <c r="D49" s="25"/>
      <c r="E49" s="136">
        <f>$B$49</f>
        <v>5</v>
      </c>
      <c r="F49" s="71" t="str">
        <f aca="true" t="shared" si="0" ref="F49:F54">$B$6&amp;E49-$B$49+1</f>
        <v>FY1</v>
      </c>
      <c r="G49" s="5" t="str">
        <f>R39</f>
        <v>W504 (no. 1)</v>
      </c>
      <c r="H49" s="5" t="e">
        <f aca="true" t="shared" si="1" ref="H49:H54">VLOOKUP(G49,$G$13:$I$18,2,FALSE)</f>
        <v>#N/A</v>
      </c>
      <c r="I49" s="6" t="e">
        <f aca="true" t="shared" si="2" ref="I49:I54">VLOOKUP(G49,$G$13:$I$18,3,FALSE)</f>
        <v>#N/A</v>
      </c>
    </row>
    <row r="50" spans="2:9" ht="12.75">
      <c r="B50" s="31"/>
      <c r="C50" s="40"/>
      <c r="D50" s="41"/>
      <c r="E50" s="137">
        <f>E49+1</f>
        <v>6</v>
      </c>
      <c r="F50" s="97" t="str">
        <f t="shared" si="0"/>
        <v>FY2</v>
      </c>
      <c r="G50" s="10" t="str">
        <f>S39</f>
        <v>L504 (no. 2)</v>
      </c>
      <c r="H50" s="10" t="e">
        <f t="shared" si="1"/>
        <v>#N/A</v>
      </c>
      <c r="I50" s="11" t="e">
        <f t="shared" si="2"/>
        <v>#N/A</v>
      </c>
    </row>
    <row r="51" spans="2:9" ht="12.75">
      <c r="B51" s="31"/>
      <c r="C51" s="40"/>
      <c r="D51" s="41"/>
      <c r="E51" s="137">
        <f>E50+1</f>
        <v>7</v>
      </c>
      <c r="F51" s="97" t="str">
        <f t="shared" si="0"/>
        <v>FY3</v>
      </c>
      <c r="G51" s="10" t="str">
        <f>R36</f>
        <v>W404 (no. 3)</v>
      </c>
      <c r="H51" s="10" t="e">
        <f t="shared" si="1"/>
        <v>#N/A</v>
      </c>
      <c r="I51" s="11" t="e">
        <f t="shared" si="2"/>
        <v>#N/A</v>
      </c>
    </row>
    <row r="52" spans="2:9" ht="12.75">
      <c r="B52" s="31"/>
      <c r="C52" s="40"/>
      <c r="D52" s="41"/>
      <c r="E52" s="137">
        <f>E51+1</f>
        <v>8</v>
      </c>
      <c r="F52" s="97" t="str">
        <f t="shared" si="0"/>
        <v>FY4</v>
      </c>
      <c r="G52" s="10" t="str">
        <f>S36</f>
        <v>L404 (no. 4)</v>
      </c>
      <c r="H52" s="10" t="e">
        <f t="shared" si="1"/>
        <v>#N/A</v>
      </c>
      <c r="I52" s="11" t="e">
        <f t="shared" si="2"/>
        <v>#N/A</v>
      </c>
    </row>
    <row r="53" spans="2:9" ht="12.75">
      <c r="B53" s="31"/>
      <c r="C53" s="40"/>
      <c r="D53" s="41"/>
      <c r="E53" s="137">
        <f>E52+1</f>
        <v>9</v>
      </c>
      <c r="F53" s="97" t="str">
        <f t="shared" si="0"/>
        <v>FY5</v>
      </c>
      <c r="G53" s="10" t="str">
        <f>R33</f>
        <v>W304 (no. 5)</v>
      </c>
      <c r="H53" s="10" t="e">
        <f t="shared" si="1"/>
        <v>#N/A</v>
      </c>
      <c r="I53" s="11" t="e">
        <f t="shared" si="2"/>
        <v>#N/A</v>
      </c>
    </row>
    <row r="54" spans="2:9" ht="12.75">
      <c r="B54" s="31"/>
      <c r="C54" s="57"/>
      <c r="D54" s="27"/>
      <c r="E54" s="138">
        <f>E53+1</f>
        <v>10</v>
      </c>
      <c r="F54" s="73" t="str">
        <f t="shared" si="0"/>
        <v>FY6</v>
      </c>
      <c r="G54" s="14" t="str">
        <f>S33</f>
        <v>L304 (no. 6)</v>
      </c>
      <c r="H54" s="14" t="e">
        <f t="shared" si="1"/>
        <v>#N/A</v>
      </c>
      <c r="I54" s="15" t="e">
        <f t="shared" si="2"/>
        <v>#N/A</v>
      </c>
    </row>
    <row r="55" ht="12.75">
      <c r="B55" s="31"/>
    </row>
  </sheetData>
  <mergeCells count="15">
    <mergeCell ref="C4:F6"/>
    <mergeCell ref="C7:F8"/>
    <mergeCell ref="T21:U21"/>
    <mergeCell ref="V21:W21"/>
    <mergeCell ref="C11:F12"/>
    <mergeCell ref="L16:M16"/>
    <mergeCell ref="X21:Y21"/>
    <mergeCell ref="N21:O21"/>
    <mergeCell ref="P21:Q21"/>
    <mergeCell ref="P16:Q16"/>
    <mergeCell ref="C47:E48"/>
    <mergeCell ref="J21:K21"/>
    <mergeCell ref="L21:M21"/>
    <mergeCell ref="F42:I42"/>
    <mergeCell ref="F43:I43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45" min="2" max="18" man="1"/>
  </rowBreaks>
  <colBreaks count="1" manualBreakCount="1">
    <brk id="17" min="3" max="4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M48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11</v>
      </c>
      <c r="C4" s="260" t="str">
        <f>$B$4&amp;" "&amp;$B$5</f>
        <v>Women C</v>
      </c>
      <c r="D4" s="261"/>
      <c r="E4" s="261"/>
      <c r="F4" s="262"/>
      <c r="G4" s="5"/>
      <c r="H4" s="17" t="str">
        <f>$A$8&amp;":"</f>
        <v>Venue:</v>
      </c>
      <c r="I4" s="6" t="str">
        <f>$B$8</f>
        <v>Olympos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73</v>
      </c>
      <c r="C5" s="263"/>
      <c r="D5" s="264"/>
      <c r="E5" s="264"/>
      <c r="F5" s="265"/>
      <c r="G5" s="10"/>
      <c r="H5" s="19" t="str">
        <f>$A$9&amp;":"</f>
        <v>Court:</v>
      </c>
      <c r="I5" s="20">
        <f>$B$9</f>
        <v>6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83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0.4305555555555556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">
        <v>84</v>
      </c>
      <c r="D7" s="267"/>
      <c r="E7" s="267"/>
      <c r="F7" s="268"/>
      <c r="G7" s="140"/>
      <c r="H7" s="25" t="str">
        <f>"Each match (except finals) consists of 2 sets of at most "&amp;$B$13&amp;" points."</f>
        <v>Each match (except finals)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15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6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0.4305555555555556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3</v>
      </c>
      <c r="C11" s="272" t="str">
        <f>$A$6&amp;" "&amp;$B$6</f>
        <v>Group FC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233</v>
      </c>
      <c r="H13" s="5" t="s">
        <v>163</v>
      </c>
      <c r="I13" s="6" t="s">
        <v>120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234</v>
      </c>
      <c r="H14" s="10" t="s">
        <v>125</v>
      </c>
      <c r="I14" s="11" t="s">
        <v>120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235</v>
      </c>
      <c r="H15" s="10" t="s">
        <v>236</v>
      </c>
      <c r="I15" s="11" t="s">
        <v>123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3:21" ht="12.75">
      <c r="C16" s="57"/>
      <c r="D16" s="58"/>
      <c r="E16" s="14"/>
      <c r="F16" s="39"/>
      <c r="G16" s="57" t="s">
        <v>237</v>
      </c>
      <c r="H16" s="14" t="s">
        <v>139</v>
      </c>
      <c r="I16" s="15" t="s">
        <v>120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3:39" s="65" customFormat="1" ht="12.75">
      <c r="C17" s="19"/>
      <c r="D17" s="66"/>
      <c r="E17" s="66"/>
      <c r="F17" s="67"/>
      <c r="G17" s="68"/>
      <c r="H17" s="66"/>
      <c r="I17" s="66"/>
      <c r="J17" s="69"/>
      <c r="K17" s="69"/>
      <c r="L17" s="69"/>
      <c r="M17" s="69"/>
      <c r="N17" s="69"/>
      <c r="O17" s="69"/>
      <c r="P17" s="69"/>
      <c r="Q17" s="19"/>
      <c r="AA17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3:39" s="65" customFormat="1" ht="12.75">
      <c r="C18" s="19"/>
      <c r="D18" s="66"/>
      <c r="E18" s="66"/>
      <c r="F18" s="67"/>
      <c r="G18" s="68"/>
      <c r="H18" s="66"/>
      <c r="I18" s="66"/>
      <c r="J18" s="69"/>
      <c r="K18" s="69"/>
      <c r="L18" s="69"/>
      <c r="M18" s="69"/>
      <c r="N18" s="69"/>
      <c r="O18" s="69"/>
      <c r="P18" s="69"/>
      <c r="Q18" s="1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3:35" ht="12.75">
      <c r="C19" s="32"/>
      <c r="D19" s="5"/>
      <c r="E19" s="5"/>
      <c r="F19" s="5"/>
      <c r="G19" s="5"/>
      <c r="H19" s="5"/>
      <c r="I19" s="6"/>
      <c r="J19" s="249" t="s">
        <v>39</v>
      </c>
      <c r="K19" s="250"/>
      <c r="L19" s="249" t="s">
        <v>40</v>
      </c>
      <c r="M19" s="250"/>
      <c r="N19" s="249" t="s">
        <v>78</v>
      </c>
      <c r="O19" s="250"/>
      <c r="P19" s="249" t="s">
        <v>31</v>
      </c>
      <c r="Q19" s="250"/>
      <c r="R19" s="32"/>
      <c r="S19" s="6"/>
      <c r="T19" s="249" t="s">
        <v>39</v>
      </c>
      <c r="U19" s="250"/>
      <c r="V19" s="249" t="s">
        <v>40</v>
      </c>
      <c r="W19" s="250"/>
      <c r="X19" s="249" t="s">
        <v>24</v>
      </c>
      <c r="Y19" s="250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3:25" ht="12.75">
      <c r="C20" s="73" t="s">
        <v>18</v>
      </c>
      <c r="D20" s="74" t="s">
        <v>43</v>
      </c>
      <c r="E20" s="74" t="s">
        <v>17</v>
      </c>
      <c r="F20" s="75" t="s">
        <v>44</v>
      </c>
      <c r="G20" s="76" t="s">
        <v>45</v>
      </c>
      <c r="H20" s="77" t="s">
        <v>46</v>
      </c>
      <c r="I20" s="78" t="s">
        <v>47</v>
      </c>
      <c r="J20" s="79" t="s">
        <v>48</v>
      </c>
      <c r="K20" s="80" t="s">
        <v>49</v>
      </c>
      <c r="L20" s="79" t="s">
        <v>48</v>
      </c>
      <c r="M20" s="80" t="s">
        <v>49</v>
      </c>
      <c r="N20" s="79" t="s">
        <v>48</v>
      </c>
      <c r="O20" s="80" t="s">
        <v>49</v>
      </c>
      <c r="P20" s="81" t="s">
        <v>48</v>
      </c>
      <c r="Q20" s="82" t="s">
        <v>49</v>
      </c>
      <c r="R20" s="57" t="s">
        <v>79</v>
      </c>
      <c r="S20" s="15" t="s">
        <v>80</v>
      </c>
      <c r="T20" s="79" t="s">
        <v>48</v>
      </c>
      <c r="U20" s="80" t="s">
        <v>49</v>
      </c>
      <c r="V20" s="79" t="s">
        <v>48</v>
      </c>
      <c r="W20" s="80" t="s">
        <v>49</v>
      </c>
      <c r="X20" s="79" t="s">
        <v>48</v>
      </c>
      <c r="Y20" s="80" t="s">
        <v>49</v>
      </c>
    </row>
    <row r="21" spans="3:25" ht="12.75">
      <c r="C21" s="71"/>
      <c r="D21" s="25"/>
      <c r="E21" s="25"/>
      <c r="F21" s="25"/>
      <c r="G21" s="5"/>
      <c r="H21" s="5"/>
      <c r="I21" s="6"/>
      <c r="J21" s="71"/>
      <c r="K21" s="72"/>
      <c r="L21" s="71"/>
      <c r="M21" s="72"/>
      <c r="N21" s="83"/>
      <c r="O21" s="17"/>
      <c r="P21" s="71"/>
      <c r="Q21" s="72"/>
      <c r="R21" s="32"/>
      <c r="S21" s="6"/>
      <c r="T21" s="32"/>
      <c r="U21" s="6"/>
      <c r="V21" s="32"/>
      <c r="W21" s="6"/>
      <c r="X21" s="40"/>
      <c r="Y21" s="11"/>
    </row>
    <row r="22" spans="3:25" ht="12.75">
      <c r="C22" s="84">
        <f>$B$10+(D22-$B$11)*($B$12/60/24+TIME(0,5,0))</f>
        <v>0.4305555555555556</v>
      </c>
      <c r="D22" s="85">
        <f>$B$11</f>
        <v>3</v>
      </c>
      <c r="E22" s="85">
        <f>$B$9</f>
        <v>6</v>
      </c>
      <c r="F22" s="85">
        <f>$E22+$D22*100</f>
        <v>306</v>
      </c>
      <c r="G22" s="86" t="str">
        <f>G13</f>
        <v>Goud Dames 2</v>
      </c>
      <c r="H22" s="86" t="str">
        <f>G16</f>
        <v>Utrecht Power</v>
      </c>
      <c r="I22" s="87" t="str">
        <f>G15</f>
        <v>Inteam</v>
      </c>
      <c r="J22" s="88"/>
      <c r="K22" s="87"/>
      <c r="L22" s="88"/>
      <c r="M22" s="87"/>
      <c r="N22" s="188">
        <f>SUM(J22,L22)</f>
        <v>0</v>
      </c>
      <c r="O22" s="189">
        <f>SUM(K22,M22)</f>
        <v>0</v>
      </c>
      <c r="P22" s="190">
        <f>SUM(T22,V22)</f>
        <v>2</v>
      </c>
      <c r="Q22" s="191">
        <f>SUM(U22,W22)</f>
        <v>2</v>
      </c>
      <c r="R22" s="40" t="str">
        <f>IF(P22&gt;Q22,G22,IF(P22&lt;Q22,H22,IF(N22&gt;O22,G22,IF(N22&lt;O22,H22,IF(X22&gt;Y22,G22,IF(X22&lt;Y22,H22,"W"&amp;F22&amp;" (no. 1 - 2)"))))))</f>
        <v>W306 (no. 1 - 2)</v>
      </c>
      <c r="S22" s="11" t="str">
        <f>IF(P22&gt;Q22,H22,IF(P22&lt;Q22,G22,IF(N22&gt;O22,H22,IF(N22&lt;O22,G22,IF(X22&gt;Y22,H22,IF(X22&lt;Y22,G22,"L"&amp;F22&amp;" (no. 3 - 4)"))))))</f>
        <v>L306 (no. 3 - 4)</v>
      </c>
      <c r="T22" s="51">
        <f>IF(J22&gt;K22,2,IF(J22=K22,1,0))</f>
        <v>1</v>
      </c>
      <c r="U22" s="53">
        <f>IF(K22&gt;J22,2,IF(K22=J22,1,0))</f>
        <v>1</v>
      </c>
      <c r="V22" s="51">
        <f>IF(L22&gt;M22,2,IF(L22=M22,1,0))</f>
        <v>1</v>
      </c>
      <c r="W22" s="53">
        <f>IF(M22&gt;L22,2,IF(M22=L22,1,0))</f>
        <v>1</v>
      </c>
      <c r="X22" s="40"/>
      <c r="Y22" s="11"/>
    </row>
    <row r="23" spans="2:25" ht="12.75">
      <c r="B23" s="31"/>
      <c r="C23" s="84"/>
      <c r="D23" s="85"/>
      <c r="E23" s="85"/>
      <c r="F23" s="85"/>
      <c r="G23" s="30"/>
      <c r="H23" s="30"/>
      <c r="I23" s="87"/>
      <c r="J23" s="92"/>
      <c r="K23" s="93"/>
      <c r="L23" s="92"/>
      <c r="M23" s="93"/>
      <c r="N23" s="188"/>
      <c r="O23" s="189"/>
      <c r="P23" s="190"/>
      <c r="Q23" s="191"/>
      <c r="R23" s="40"/>
      <c r="S23" s="11"/>
      <c r="T23" s="51"/>
      <c r="U23" s="53"/>
      <c r="V23" s="51"/>
      <c r="W23" s="53"/>
      <c r="X23" s="40"/>
      <c r="Y23" s="11"/>
    </row>
    <row r="24" spans="2:25" ht="12.75">
      <c r="B24" s="31"/>
      <c r="C24" s="84">
        <f>$B$10+(D24-$B$11)*($B$12/60/24+TIME(0,5,0))</f>
        <v>0.45833333333333337</v>
      </c>
      <c r="D24" s="145">
        <f>$B$11+1</f>
        <v>4</v>
      </c>
      <c r="E24" s="85">
        <f>$B$9</f>
        <v>6</v>
      </c>
      <c r="F24" s="85">
        <f>$E24+$D24*100</f>
        <v>406</v>
      </c>
      <c r="G24" s="30" t="str">
        <f>G15</f>
        <v>Inteam</v>
      </c>
      <c r="H24" s="30" t="str">
        <f>G14</f>
        <v>ZLG Lady's</v>
      </c>
      <c r="I24" s="87" t="str">
        <f>G13</f>
        <v>Goud Dames 2</v>
      </c>
      <c r="J24" s="92"/>
      <c r="K24" s="93"/>
      <c r="L24" s="92"/>
      <c r="M24" s="93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1 - 2)"))))))</f>
        <v>W406 (no. 1 - 2)</v>
      </c>
      <c r="S24" s="11" t="str">
        <f>IF(P24&gt;Q24,H24,IF(P24&lt;Q24,G24,IF(N24&gt;O24,H24,IF(N24&lt;O24,G24,IF(X24&gt;Y24,H24,IF(X24&lt;Y24,G24,"L"&amp;F24&amp;" (no. 3 - 4)"))))))</f>
        <v>L406 (no. 3 - 4)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2:25" ht="12.75">
      <c r="B25" s="31"/>
      <c r="C25" s="84"/>
      <c r="D25" s="145"/>
      <c r="E25" s="85"/>
      <c r="F25" s="85"/>
      <c r="G25" s="30"/>
      <c r="H25" s="30"/>
      <c r="I25" s="87"/>
      <c r="J25" s="92"/>
      <c r="K25" s="93"/>
      <c r="L25" s="92"/>
      <c r="M25" s="93"/>
      <c r="N25" s="169"/>
      <c r="O25" s="85"/>
      <c r="P25" s="99"/>
      <c r="Q25" s="100"/>
      <c r="R25" s="40"/>
      <c r="S25" s="11"/>
      <c r="T25" s="51"/>
      <c r="U25" s="53"/>
      <c r="V25" s="51"/>
      <c r="W25" s="53"/>
      <c r="X25" s="40"/>
      <c r="Y25" s="11"/>
    </row>
    <row r="26" spans="2:25" ht="12.75">
      <c r="B26" s="31"/>
      <c r="C26" s="84">
        <f>$B$10+(D26-$B$11)*($B$12/60/24+TIME(0,5,0))</f>
        <v>0.48611111111111116</v>
      </c>
      <c r="D26" s="242">
        <f>$B$11+2</f>
        <v>5</v>
      </c>
      <c r="E26" s="102"/>
      <c r="F26" s="258" t="s">
        <v>98</v>
      </c>
      <c r="G26" s="258"/>
      <c r="H26" s="258"/>
      <c r="I26" s="259"/>
      <c r="J26" s="92"/>
      <c r="K26" s="93"/>
      <c r="L26" s="92"/>
      <c r="M26" s="93"/>
      <c r="N26" s="89"/>
      <c r="O26" s="90"/>
      <c r="P26" s="99"/>
      <c r="Q26" s="100"/>
      <c r="R26" s="40"/>
      <c r="S26" s="11"/>
      <c r="T26" s="51"/>
      <c r="U26" s="53"/>
      <c r="V26" s="51"/>
      <c r="W26" s="53"/>
      <c r="X26" s="40"/>
      <c r="Y26" s="11"/>
    </row>
    <row r="27" spans="2:25" ht="12.75">
      <c r="B27" s="31"/>
      <c r="C27" s="84"/>
      <c r="D27" s="145"/>
      <c r="E27" s="102"/>
      <c r="F27" s="258" t="s">
        <v>97</v>
      </c>
      <c r="G27" s="258"/>
      <c r="H27" s="258"/>
      <c r="I27" s="259"/>
      <c r="J27" s="92"/>
      <c r="K27" s="93"/>
      <c r="L27" s="92"/>
      <c r="M27" s="93"/>
      <c r="N27" s="89"/>
      <c r="O27" s="90"/>
      <c r="P27" s="99"/>
      <c r="Q27" s="100"/>
      <c r="R27" s="40"/>
      <c r="S27" s="11"/>
      <c r="T27" s="51"/>
      <c r="U27" s="53"/>
      <c r="V27" s="51"/>
      <c r="W27" s="53"/>
      <c r="X27" s="40"/>
      <c r="Y27" s="11"/>
    </row>
    <row r="28" spans="2:25" ht="12.75">
      <c r="B28" s="31"/>
      <c r="C28" s="84"/>
      <c r="D28" s="85"/>
      <c r="E28" s="85"/>
      <c r="F28" s="85"/>
      <c r="G28" s="30"/>
      <c r="H28" s="30"/>
      <c r="I28" s="87"/>
      <c r="J28" s="92"/>
      <c r="K28" s="93"/>
      <c r="L28" s="92"/>
      <c r="M28" s="93"/>
      <c r="N28" s="89"/>
      <c r="O28" s="90"/>
      <c r="P28" s="99"/>
      <c r="Q28" s="100"/>
      <c r="R28" s="57"/>
      <c r="S28" s="15"/>
      <c r="T28" s="99"/>
      <c r="U28" s="100"/>
      <c r="V28" s="99"/>
      <c r="W28" s="100"/>
      <c r="X28" s="57"/>
      <c r="Y28" s="15"/>
    </row>
    <row r="29" spans="3:39" ht="12.75">
      <c r="C29" s="32"/>
      <c r="D29" s="5"/>
      <c r="E29" s="5"/>
      <c r="F29" s="5"/>
      <c r="G29" s="5"/>
      <c r="H29" s="5"/>
      <c r="I29" s="6"/>
      <c r="J29" s="249" t="s">
        <v>39</v>
      </c>
      <c r="K29" s="250"/>
      <c r="L29" s="249" t="s">
        <v>40</v>
      </c>
      <c r="M29" s="250"/>
      <c r="N29" s="249" t="s">
        <v>41</v>
      </c>
      <c r="O29" s="250"/>
      <c r="P29" s="249" t="s">
        <v>31</v>
      </c>
      <c r="Q29" s="250"/>
      <c r="R29" s="32"/>
      <c r="S29" s="6"/>
      <c r="T29" s="249" t="s">
        <v>39</v>
      </c>
      <c r="U29" s="250"/>
      <c r="V29" s="249" t="s">
        <v>40</v>
      </c>
      <c r="W29" s="250"/>
      <c r="X29" s="249" t="s">
        <v>41</v>
      </c>
      <c r="Y29" s="250"/>
      <c r="Z29" s="249" t="s">
        <v>42</v>
      </c>
      <c r="AA29" s="250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2:27" ht="12.75">
      <c r="B30" s="31"/>
      <c r="C30" s="73" t="s">
        <v>18</v>
      </c>
      <c r="D30" s="74" t="s">
        <v>43</v>
      </c>
      <c r="E30" s="74" t="s">
        <v>17</v>
      </c>
      <c r="F30" s="75" t="s">
        <v>44</v>
      </c>
      <c r="G30" s="76" t="s">
        <v>45</v>
      </c>
      <c r="H30" s="77" t="s">
        <v>46</v>
      </c>
      <c r="I30" s="78" t="s">
        <v>47</v>
      </c>
      <c r="J30" s="79" t="s">
        <v>48</v>
      </c>
      <c r="K30" s="80" t="s">
        <v>49</v>
      </c>
      <c r="L30" s="79" t="s">
        <v>48</v>
      </c>
      <c r="M30" s="80" t="s">
        <v>49</v>
      </c>
      <c r="N30" s="79" t="s">
        <v>48</v>
      </c>
      <c r="O30" s="80" t="s">
        <v>49</v>
      </c>
      <c r="P30" s="79" t="s">
        <v>48</v>
      </c>
      <c r="Q30" s="80" t="s">
        <v>49</v>
      </c>
      <c r="R30" s="57" t="s">
        <v>79</v>
      </c>
      <c r="S30" s="15" t="s">
        <v>80</v>
      </c>
      <c r="T30" s="79" t="s">
        <v>48</v>
      </c>
      <c r="U30" s="80" t="s">
        <v>49</v>
      </c>
      <c r="V30" s="79" t="s">
        <v>48</v>
      </c>
      <c r="W30" s="80" t="s">
        <v>49</v>
      </c>
      <c r="X30" s="79" t="s">
        <v>48</v>
      </c>
      <c r="Y30" s="80" t="s">
        <v>49</v>
      </c>
      <c r="Z30" s="79" t="s">
        <v>48</v>
      </c>
      <c r="AA30" s="80" t="s">
        <v>49</v>
      </c>
    </row>
    <row r="31" spans="1:27" ht="12.75">
      <c r="A31" s="18" t="s">
        <v>70</v>
      </c>
      <c r="B31" s="18" t="s">
        <v>71</v>
      </c>
      <c r="C31" s="84"/>
      <c r="D31" s="85"/>
      <c r="E31" s="85"/>
      <c r="F31" s="85"/>
      <c r="G31" s="30"/>
      <c r="H31" s="30"/>
      <c r="I31" s="87"/>
      <c r="J31" s="92"/>
      <c r="K31" s="93"/>
      <c r="L31" s="92"/>
      <c r="M31" s="93"/>
      <c r="N31" s="89"/>
      <c r="O31" s="90"/>
      <c r="P31" s="99"/>
      <c r="Q31" s="100"/>
      <c r="R31" s="40"/>
      <c r="S31" s="11"/>
      <c r="T31" s="99"/>
      <c r="U31" s="100"/>
      <c r="V31" s="99"/>
      <c r="W31" s="100"/>
      <c r="X31" s="99"/>
      <c r="Y31" s="100"/>
      <c r="Z31" s="92"/>
      <c r="AA31" s="93"/>
    </row>
    <row r="32" spans="1:27" ht="12.75">
      <c r="A32" s="147">
        <v>0.5208333333333334</v>
      </c>
      <c r="B32" s="143">
        <v>6</v>
      </c>
      <c r="C32" s="153">
        <f>$A$32</f>
        <v>0.5208333333333334</v>
      </c>
      <c r="D32" s="145">
        <f>$B$11+3</f>
        <v>6</v>
      </c>
      <c r="E32" s="145">
        <f>$B$32</f>
        <v>6</v>
      </c>
      <c r="F32" s="145">
        <f>$E32+$D32*100</f>
        <v>606</v>
      </c>
      <c r="G32" s="148" t="str">
        <f>S24</f>
        <v>L406 (no. 3 - 4)</v>
      </c>
      <c r="H32" s="148" t="str">
        <f>S22</f>
        <v>L306 (no. 3 - 4)</v>
      </c>
      <c r="I32" s="149" t="str">
        <f>"Official / "&amp;R22</f>
        <v>Official / W306 (no. 1 - 2)</v>
      </c>
      <c r="J32" s="88"/>
      <c r="K32" s="87"/>
      <c r="L32" s="88"/>
      <c r="M32" s="87"/>
      <c r="N32" s="89">
        <f>IF(OR(T32+V32=2,U32+W32=2),"---","")</f>
      </c>
      <c r="O32" s="90">
        <f>IF(OR(T32+V32=2,U32+W32=2),"---","")</f>
      </c>
      <c r="P32" s="199">
        <f>IF(AND(Z32=2,AA32=0),3,Z32)</f>
        <v>0</v>
      </c>
      <c r="Q32" s="200">
        <f>IF(AND(AA32=2,Z32=0),3,AA32)</f>
        <v>0</v>
      </c>
      <c r="R32" s="40" t="str">
        <f>IF(P32&gt;Q32,G32,IF(P32&lt;Q32,H32,"W"&amp;F32&amp;" (no. 3)"))</f>
        <v>W606 (no. 3)</v>
      </c>
      <c r="S32" s="11" t="str">
        <f>IF(P32&gt;Q32,H32,IF(P32&lt;Q32,G32,"L"&amp;F32&amp;" (no. 4)"))</f>
        <v>L606 (no. 4)</v>
      </c>
      <c r="T32" s="51">
        <f>IF(J32&gt;K32,1,0)</f>
        <v>0</v>
      </c>
      <c r="U32" s="53">
        <f>IF(K32&gt;J32,1,0)</f>
        <v>0</v>
      </c>
      <c r="V32" s="51">
        <f>IF(L32&gt;M32,1,0)</f>
        <v>0</v>
      </c>
      <c r="W32" s="53">
        <f>IF(M32&gt;L32,1,0)</f>
        <v>0</v>
      </c>
      <c r="X32" s="51">
        <f>IF(N32&gt;O32,1,0)</f>
        <v>0</v>
      </c>
      <c r="Y32" s="53">
        <f>IF(O32&gt;N32,1,0)</f>
        <v>0</v>
      </c>
      <c r="Z32" s="54">
        <f>SUM(T32,V32,X32)</f>
        <v>0</v>
      </c>
      <c r="AA32" s="91">
        <f>SUM(U32,W32,Y32)</f>
        <v>0</v>
      </c>
    </row>
    <row r="33" spans="1:27" ht="24.75" customHeight="1">
      <c r="A33" s="147"/>
      <c r="B33" s="143"/>
      <c r="C33" s="153"/>
      <c r="D33" s="145"/>
      <c r="E33" s="145"/>
      <c r="F33" s="145"/>
      <c r="G33" s="237"/>
      <c r="H33" s="237"/>
      <c r="I33" s="149"/>
      <c r="J33" s="88"/>
      <c r="K33" s="87"/>
      <c r="L33" s="88"/>
      <c r="M33" s="87"/>
      <c r="N33" s="89"/>
      <c r="O33" s="90"/>
      <c r="P33" s="199"/>
      <c r="Q33" s="200"/>
      <c r="R33" s="40"/>
      <c r="S33" s="11"/>
      <c r="T33" s="51"/>
      <c r="U33" s="53"/>
      <c r="V33" s="51"/>
      <c r="W33" s="53"/>
      <c r="X33" s="51"/>
      <c r="Y33" s="53"/>
      <c r="Z33" s="54"/>
      <c r="AA33" s="91"/>
    </row>
    <row r="34" spans="1:27" ht="12.75">
      <c r="A34" s="143"/>
      <c r="B34" s="142"/>
      <c r="C34" s="84"/>
      <c r="D34" s="145"/>
      <c r="E34" s="145"/>
      <c r="F34" s="145"/>
      <c r="G34" s="150"/>
      <c r="H34" s="150"/>
      <c r="I34" s="151"/>
      <c r="J34" s="40"/>
      <c r="K34" s="11"/>
      <c r="L34" s="40"/>
      <c r="M34" s="11"/>
      <c r="N34" s="89">
        <f>IF(OR(T34+V34=2,U34+W34=2),"---","")</f>
      </c>
      <c r="O34" s="90">
        <f>IF(OR(T34+V34=2,U34+W34=2),"---","")</f>
      </c>
      <c r="P34" s="199"/>
      <c r="Q34" s="200"/>
      <c r="R34" s="40"/>
      <c r="S34" s="11"/>
      <c r="T34" s="51"/>
      <c r="U34" s="53"/>
      <c r="V34" s="51"/>
      <c r="W34" s="53"/>
      <c r="X34" s="51"/>
      <c r="Y34" s="53"/>
      <c r="Z34" s="54"/>
      <c r="AA34" s="91"/>
    </row>
    <row r="35" spans="1:27" ht="12.75">
      <c r="A35" s="143"/>
      <c r="B35" s="142"/>
      <c r="C35" s="84">
        <f>C32+75/60/24</f>
        <v>0.5729166666666667</v>
      </c>
      <c r="D35" s="145">
        <f>$B$11+5</f>
        <v>8</v>
      </c>
      <c r="E35" s="145">
        <f>$B$32</f>
        <v>6</v>
      </c>
      <c r="F35" s="145">
        <f>$E35+$D35*100</f>
        <v>806</v>
      </c>
      <c r="G35" s="144" t="str">
        <f>R22</f>
        <v>W306 (no. 1 - 2)</v>
      </c>
      <c r="H35" s="144" t="str">
        <f>R24</f>
        <v>W406 (no. 1 - 2)</v>
      </c>
      <c r="I35" s="151" t="str">
        <f>"Official / "&amp;S24</f>
        <v>Official / L406 (no. 3 - 4)</v>
      </c>
      <c r="J35" s="96"/>
      <c r="K35" s="94"/>
      <c r="L35" s="96"/>
      <c r="M35" s="94"/>
      <c r="N35" s="89">
        <f>IF(OR(T35+V35=2,U35+W35=2),"---","")</f>
      </c>
      <c r="O35" s="90">
        <f>IF(OR(T35+V35=2,U35+W35=2),"---","")</f>
      </c>
      <c r="P35" s="199">
        <f>IF(AND(Z35=2,AA35=0),3,Z35)</f>
        <v>0</v>
      </c>
      <c r="Q35" s="200">
        <f>IF(AND(AA35=2,Z35=0),3,AA35)</f>
        <v>0</v>
      </c>
      <c r="R35" s="40" t="str">
        <f>IF(P35&gt;Q35,G35,IF(P35&lt;Q35,H35,"W"&amp;F35&amp;" (no. 1)"))</f>
        <v>W806 (no. 1)</v>
      </c>
      <c r="S35" s="11" t="str">
        <f>IF(P35&gt;Q35,H35,IF(P35&lt;Q35,G35,"L"&amp;F35&amp;" (no. 2)"))</f>
        <v>L806 (no. 2)</v>
      </c>
      <c r="T35" s="51">
        <f>IF(J35&gt;K35,1,0)</f>
        <v>0</v>
      </c>
      <c r="U35" s="53">
        <f>IF(K35&gt;J35,1,0)</f>
        <v>0</v>
      </c>
      <c r="V35" s="51">
        <f>IF(L35&gt;M35,1,0)</f>
        <v>0</v>
      </c>
      <c r="W35" s="53">
        <f>IF(M35&gt;L35,1,0)</f>
        <v>0</v>
      </c>
      <c r="X35" s="51">
        <f>IF(N35&gt;O35,1,0)</f>
        <v>0</v>
      </c>
      <c r="Y35" s="53">
        <f>IF(O35&gt;N35,1,0)</f>
        <v>0</v>
      </c>
      <c r="Z35" s="54">
        <f>SUM(T35,V35,X35)</f>
        <v>0</v>
      </c>
      <c r="AA35" s="91">
        <f>SUM(U35,W35,Y35)</f>
        <v>0</v>
      </c>
    </row>
    <row r="36" spans="1:27" ht="24.75" customHeight="1">
      <c r="A36" s="143"/>
      <c r="B36" s="142"/>
      <c r="C36" s="84"/>
      <c r="D36" s="145"/>
      <c r="E36" s="145"/>
      <c r="F36" s="145"/>
      <c r="G36" s="235"/>
      <c r="H36" s="235"/>
      <c r="I36" s="151"/>
      <c r="J36" s="96"/>
      <c r="K36" s="94"/>
      <c r="L36" s="96"/>
      <c r="M36" s="94"/>
      <c r="N36" s="89"/>
      <c r="O36" s="90"/>
      <c r="P36" s="199"/>
      <c r="Q36" s="200"/>
      <c r="R36" s="40"/>
      <c r="S36" s="11"/>
      <c r="T36" s="51"/>
      <c r="U36" s="53"/>
      <c r="V36" s="51"/>
      <c r="W36" s="53"/>
      <c r="X36" s="51"/>
      <c r="Y36" s="53"/>
      <c r="Z36" s="54"/>
      <c r="AA36" s="91"/>
    </row>
    <row r="37" spans="2:27" ht="12.75">
      <c r="B37" s="31"/>
      <c r="C37" s="84"/>
      <c r="D37" s="85"/>
      <c r="E37" s="85"/>
      <c r="F37" s="85"/>
      <c r="G37" s="95"/>
      <c r="H37" s="95"/>
      <c r="I37" s="94"/>
      <c r="J37" s="97"/>
      <c r="K37" s="98"/>
      <c r="L37" s="97"/>
      <c r="M37" s="98"/>
      <c r="N37" s="89">
        <f>IF(OR(T37+V37=2,U37+W37=2),"---","")</f>
      </c>
      <c r="O37" s="90">
        <f>IF(OR(T37+V37=2,U37+W37=2),"---","")</f>
      </c>
      <c r="P37" s="99"/>
      <c r="Q37" s="100"/>
      <c r="R37" s="40"/>
      <c r="S37" s="11"/>
      <c r="T37" s="101"/>
      <c r="U37" s="11"/>
      <c r="V37" s="40"/>
      <c r="W37" s="11"/>
      <c r="X37" s="40"/>
      <c r="Y37" s="11"/>
      <c r="Z37" s="40"/>
      <c r="AA37" s="11"/>
    </row>
    <row r="38" spans="2:27" ht="12.75" customHeight="1">
      <c r="B38" s="70"/>
      <c r="C38" s="84">
        <f>C35+75/60/24</f>
        <v>0.6250000000000001</v>
      </c>
      <c r="D38" s="85"/>
      <c r="E38" s="102"/>
      <c r="G38" s="251" t="str">
        <f>"Price ceremony on court 2."</f>
        <v>Price ceremony on court 2.</v>
      </c>
      <c r="H38" s="251"/>
      <c r="I38" s="103"/>
      <c r="J38" s="97"/>
      <c r="K38" s="98"/>
      <c r="L38" s="97"/>
      <c r="M38" s="98"/>
      <c r="N38" s="89">
        <f>IF(OR(T38+V38=2,U38+W38=2),"---","")</f>
      </c>
      <c r="O38" s="90">
        <f>IF(OR(T38+V38=2,U38+W38=2),"---","")</f>
      </c>
      <c r="P38" s="99"/>
      <c r="Q38" s="100"/>
      <c r="R38" s="40"/>
      <c r="S38" s="11"/>
      <c r="T38" s="40"/>
      <c r="U38" s="11"/>
      <c r="V38" s="40"/>
      <c r="W38" s="11"/>
      <c r="X38" s="40"/>
      <c r="Y38" s="11"/>
      <c r="Z38" s="40"/>
      <c r="AA38" s="11"/>
    </row>
    <row r="39" spans="2:27" ht="12.75">
      <c r="B39" s="31"/>
      <c r="C39" s="73"/>
      <c r="D39" s="14"/>
      <c r="E39" s="14"/>
      <c r="F39" s="14"/>
      <c r="G39" s="14"/>
      <c r="H39" s="14"/>
      <c r="I39" s="15"/>
      <c r="J39" s="57"/>
      <c r="K39" s="15"/>
      <c r="L39" s="57"/>
      <c r="M39" s="15"/>
      <c r="N39" s="104"/>
      <c r="O39" s="58"/>
      <c r="P39" s="57"/>
      <c r="Q39" s="15"/>
      <c r="R39" s="57"/>
      <c r="S39" s="15"/>
      <c r="T39" s="57"/>
      <c r="U39" s="15"/>
      <c r="V39" s="57"/>
      <c r="W39" s="15"/>
      <c r="X39" s="57"/>
      <c r="Y39" s="15"/>
      <c r="Z39" s="57"/>
      <c r="AA39" s="15"/>
    </row>
    <row r="40" spans="2:17" ht="12.75">
      <c r="B40" s="31"/>
      <c r="C40" s="105"/>
      <c r="D40" s="8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ht="12.75">
      <c r="B41" s="31"/>
    </row>
    <row r="42" spans="2:9" ht="12.75" customHeight="1">
      <c r="B42" s="31"/>
      <c r="C42" s="252" t="str">
        <f>$B$4&amp;" "&amp;$B$5</f>
        <v>Women C</v>
      </c>
      <c r="D42" s="253"/>
      <c r="E42" s="254"/>
      <c r="F42" s="32"/>
      <c r="G42" s="5"/>
      <c r="H42" s="5"/>
      <c r="I42" s="6"/>
    </row>
    <row r="43" spans="2:9" ht="12.75" customHeight="1">
      <c r="B43" s="31"/>
      <c r="C43" s="255"/>
      <c r="D43" s="256"/>
      <c r="E43" s="257"/>
      <c r="F43" s="97" t="s">
        <v>32</v>
      </c>
      <c r="G43" s="10" t="str">
        <f>$G$12</f>
        <v>Team</v>
      </c>
      <c r="H43" s="10" t="str">
        <f>$H$12</f>
        <v>City</v>
      </c>
      <c r="I43" s="11" t="str">
        <f>$I$12</f>
        <v>Country</v>
      </c>
    </row>
    <row r="44" spans="2:9" ht="12.75">
      <c r="B44" s="31"/>
      <c r="C44" s="32"/>
      <c r="D44" s="25" t="s">
        <v>64</v>
      </c>
      <c r="E44" s="136">
        <v>1</v>
      </c>
      <c r="F44" s="71" t="str">
        <f>$B$6&amp;"1"</f>
        <v>FC1</v>
      </c>
      <c r="G44" s="5" t="str">
        <f>R35</f>
        <v>W806 (no. 1)</v>
      </c>
      <c r="H44" s="5" t="e">
        <f>VLOOKUP(G44,$G$13:$I$16,2,FALSE)</f>
        <v>#N/A</v>
      </c>
      <c r="I44" s="6" t="e">
        <f>VLOOKUP(G44,$G$13:$I$16,3,FALSE)</f>
        <v>#N/A</v>
      </c>
    </row>
    <row r="45" spans="2:9" ht="12.75">
      <c r="B45" s="31"/>
      <c r="C45" s="40"/>
      <c r="D45" s="41" t="s">
        <v>65</v>
      </c>
      <c r="E45" s="137">
        <v>2</v>
      </c>
      <c r="F45" s="97" t="str">
        <f>$B$6&amp;"2"</f>
        <v>FC2</v>
      </c>
      <c r="G45" s="10" t="str">
        <f>S35</f>
        <v>L806 (no. 2)</v>
      </c>
      <c r="H45" s="10" t="e">
        <f>VLOOKUP(G45,$G$13:$I$16,2,FALSE)</f>
        <v>#N/A</v>
      </c>
      <c r="I45" s="11" t="e">
        <f>VLOOKUP(G45,$G$13:$I$16,3,FALSE)</f>
        <v>#N/A</v>
      </c>
    </row>
    <row r="46" spans="2:9" ht="12.75">
      <c r="B46" s="31"/>
      <c r="C46" s="40"/>
      <c r="D46" s="41" t="s">
        <v>66</v>
      </c>
      <c r="E46" s="137">
        <v>3</v>
      </c>
      <c r="F46" s="97" t="str">
        <f>$B$6&amp;"3"</f>
        <v>FC3</v>
      </c>
      <c r="G46" s="10" t="str">
        <f>R32</f>
        <v>W606 (no. 3)</v>
      </c>
      <c r="H46" s="10" t="e">
        <f>VLOOKUP(G46,$G$13:$I$16,2,FALSE)</f>
        <v>#N/A</v>
      </c>
      <c r="I46" s="11" t="e">
        <f>VLOOKUP(G46,$G$13:$I$16,3,FALSE)</f>
        <v>#N/A</v>
      </c>
    </row>
    <row r="47" spans="2:9" ht="12.75">
      <c r="B47" s="31"/>
      <c r="C47" s="57"/>
      <c r="D47" s="27"/>
      <c r="E47" s="138">
        <v>4</v>
      </c>
      <c r="F47" s="73" t="str">
        <f>$B$6&amp;"4"</f>
        <v>FC4</v>
      </c>
      <c r="G47" s="14" t="str">
        <f>S32</f>
        <v>L606 (no. 4)</v>
      </c>
      <c r="H47" s="14" t="e">
        <f>VLOOKUP(G47,$G$13:$I$16,2,FALSE)</f>
        <v>#N/A</v>
      </c>
      <c r="I47" s="15" t="e">
        <f>VLOOKUP(G47,$G$13:$I$16,3,FALSE)</f>
        <v>#N/A</v>
      </c>
    </row>
    <row r="48" ht="12.75">
      <c r="B48" s="31"/>
    </row>
  </sheetData>
  <mergeCells count="22">
    <mergeCell ref="C4:F6"/>
    <mergeCell ref="C7:F8"/>
    <mergeCell ref="T19:U19"/>
    <mergeCell ref="V19:W19"/>
    <mergeCell ref="C11:F12"/>
    <mergeCell ref="C42:E43"/>
    <mergeCell ref="J19:K19"/>
    <mergeCell ref="L19:M19"/>
    <mergeCell ref="J29:K29"/>
    <mergeCell ref="L29:M29"/>
    <mergeCell ref="F26:I26"/>
    <mergeCell ref="F27:I27"/>
    <mergeCell ref="X29:Y29"/>
    <mergeCell ref="Z29:AA29"/>
    <mergeCell ref="G38:H38"/>
    <mergeCell ref="X19:Y19"/>
    <mergeCell ref="N29:O29"/>
    <mergeCell ref="P29:Q29"/>
    <mergeCell ref="T29:U29"/>
    <mergeCell ref="V29:W29"/>
    <mergeCell ref="N19:O19"/>
    <mergeCell ref="P19:Q19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40" min="2" max="18" man="1"/>
  </rowBreaks>
  <colBreaks count="1" manualBreakCount="1">
    <brk id="17" min="3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48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27" max="27" width="11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 customHeight="1">
      <c r="A4" t="s">
        <v>10</v>
      </c>
      <c r="B4" s="16" t="s">
        <v>72</v>
      </c>
      <c r="C4" s="260" t="str">
        <f>$B$4&amp;" "&amp;$B$5</f>
        <v>Men A</v>
      </c>
      <c r="D4" s="261"/>
      <c r="E4" s="261"/>
      <c r="F4" s="262"/>
      <c r="G4" s="170"/>
      <c r="H4" s="17" t="str">
        <f>$A$8&amp;":"</f>
        <v>Venue:</v>
      </c>
      <c r="I4" s="6" t="str">
        <f>$B$8</f>
        <v>Olympos</v>
      </c>
      <c r="J4" s="10"/>
      <c r="K4" s="10"/>
      <c r="L4" s="10"/>
      <c r="M4" s="10"/>
      <c r="N4" s="10"/>
      <c r="O4" s="10"/>
      <c r="P4" s="10"/>
      <c r="Q4" s="10"/>
    </row>
    <row r="5" spans="2:17" ht="12.75" customHeight="1">
      <c r="B5" s="18" t="s">
        <v>12</v>
      </c>
      <c r="C5" s="263"/>
      <c r="D5" s="264"/>
      <c r="E5" s="264"/>
      <c r="F5" s="265"/>
      <c r="G5" s="171"/>
      <c r="H5" s="19" t="str">
        <f>$A$9&amp;":"</f>
        <v>Court:</v>
      </c>
      <c r="I5" s="20">
        <f>$B$9</f>
        <v>9</v>
      </c>
      <c r="J5" s="10"/>
      <c r="K5" s="10"/>
      <c r="L5" s="10"/>
      <c r="M5" s="10"/>
      <c r="N5" s="10"/>
      <c r="O5" s="10"/>
      <c r="P5" s="10"/>
      <c r="Q5" s="10"/>
    </row>
    <row r="6" spans="1:17" ht="12.75" customHeight="1">
      <c r="A6" s="18" t="s">
        <v>101</v>
      </c>
      <c r="B6" s="18" t="s">
        <v>103</v>
      </c>
      <c r="C6" s="263"/>
      <c r="D6" s="264"/>
      <c r="E6" s="264"/>
      <c r="F6" s="265"/>
      <c r="G6" s="172"/>
      <c r="H6" s="19" t="str">
        <f>$A$10&amp;":"</f>
        <v>Time:</v>
      </c>
      <c r="I6" s="22">
        <f>$B$10</f>
        <v>0.5416666666666666</v>
      </c>
      <c r="J6" s="10"/>
      <c r="K6" s="10"/>
      <c r="L6" s="10"/>
      <c r="M6" s="10"/>
      <c r="N6" s="21"/>
      <c r="O6" s="10"/>
      <c r="P6" s="23"/>
      <c r="Q6" s="23"/>
    </row>
    <row r="7" spans="1:17" ht="12.75" customHeight="1">
      <c r="A7" s="18"/>
      <c r="B7" s="18"/>
      <c r="C7" s="266" t="str">
        <f>11&amp;" - "&amp;13&amp;" ranking"</f>
        <v>11 - 13 ranking</v>
      </c>
      <c r="D7" s="267"/>
      <c r="E7" s="267"/>
      <c r="F7" s="268"/>
      <c r="G7" s="140"/>
      <c r="H7" s="25" t="str">
        <f>"Each match consists of 2 sets of at most "&amp;$B$13&amp;" points."</f>
        <v>Each match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15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9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0.5416666666666666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39" ht="12.75">
      <c r="A11" t="s">
        <v>19</v>
      </c>
      <c r="B11" s="26">
        <v>7</v>
      </c>
      <c r="C11" s="272" t="str">
        <f>$A$6&amp;" "&amp;$B$6</f>
        <v>Group AC</v>
      </c>
      <c r="D11" s="273"/>
      <c r="E11" s="273"/>
      <c r="F11" s="274"/>
      <c r="G11" s="32"/>
      <c r="H11" s="5"/>
      <c r="I11" s="6"/>
      <c r="J11" s="33" t="s">
        <v>20</v>
      </c>
      <c r="K11" s="5"/>
      <c r="L11" s="5"/>
      <c r="M11" s="34" t="s">
        <v>21</v>
      </c>
      <c r="N11" s="32"/>
      <c r="O11" s="35" t="s">
        <v>22</v>
      </c>
      <c r="P11" s="32"/>
      <c r="Q11" s="34"/>
      <c r="R11" s="3" t="s">
        <v>23</v>
      </c>
      <c r="S11" s="3"/>
      <c r="T11" s="3"/>
      <c r="U11" s="3"/>
      <c r="V11" s="3"/>
      <c r="W11" s="3"/>
      <c r="X11" s="3"/>
      <c r="Y11" s="3"/>
      <c r="Z11" s="32" t="s">
        <v>24</v>
      </c>
      <c r="AA11" s="36" t="s">
        <v>25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1"/>
    </row>
    <row r="12" spans="1:39" ht="12.75">
      <c r="A12" t="s">
        <v>26</v>
      </c>
      <c r="B12" s="26">
        <v>35</v>
      </c>
      <c r="C12" s="275"/>
      <c r="D12" s="276"/>
      <c r="E12" s="276"/>
      <c r="F12" s="277"/>
      <c r="G12" s="96" t="s">
        <v>27</v>
      </c>
      <c r="H12" s="157" t="s">
        <v>28</v>
      </c>
      <c r="I12" s="50" t="s">
        <v>29</v>
      </c>
      <c r="J12" s="40" t="s">
        <v>30</v>
      </c>
      <c r="K12" s="41"/>
      <c r="L12" s="10"/>
      <c r="M12" s="11"/>
      <c r="N12" s="40"/>
      <c r="O12" s="42" t="s">
        <v>31</v>
      </c>
      <c r="P12" s="40"/>
      <c r="Q12" s="42" t="s">
        <v>32</v>
      </c>
      <c r="V12" t="s">
        <v>33</v>
      </c>
      <c r="Z12" s="43" t="s">
        <v>34</v>
      </c>
      <c r="AA12" s="44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</row>
    <row r="13" spans="1:39" ht="12.75">
      <c r="A13" t="s">
        <v>35</v>
      </c>
      <c r="B13" s="45">
        <f>(B12+5)/2</f>
        <v>20</v>
      </c>
      <c r="C13" s="32"/>
      <c r="D13" s="5"/>
      <c r="E13" s="5"/>
      <c r="F13" s="156"/>
      <c r="G13" s="32" t="str">
        <f>'AB(5)'!G45</f>
        <v>L609 (no. 3 - 5)</v>
      </c>
      <c r="H13" s="5" t="e">
        <f>'AB(5)'!H45</f>
        <v>#N/A</v>
      </c>
      <c r="I13" s="5" t="e">
        <f>'AB(5)'!I45</f>
        <v>#N/A</v>
      </c>
      <c r="J13" s="219">
        <f>SUM(K27,M27,K29,M29,J34,L34)</f>
        <v>0</v>
      </c>
      <c r="K13" s="220">
        <f>SUM(J27,L27,J29,L29,K34,M34)</f>
        <v>0</v>
      </c>
      <c r="L13" s="221"/>
      <c r="M13" s="222">
        <f>J13-K13</f>
        <v>0</v>
      </c>
      <c r="N13" s="223"/>
      <c r="O13" s="239">
        <f>SUM(O27,Q27,O29,Q29,N34,P34)</f>
        <v>0</v>
      </c>
      <c r="P13" s="221"/>
      <c r="Q13" s="222">
        <f>RANK(AA13,$AA$13:$AA$18)</f>
        <v>1</v>
      </c>
      <c r="R13" s="48" t="str">
        <f aca="true" t="shared" si="0" ref="R13:T18">G13</f>
        <v>L609 (no. 3 - 5)</v>
      </c>
      <c r="S13" s="48" t="e">
        <f t="shared" si="0"/>
        <v>#N/A</v>
      </c>
      <c r="T13" s="48" t="e">
        <f t="shared" si="0"/>
        <v>#N/A</v>
      </c>
      <c r="V13" s="48" t="str">
        <f>G13</f>
        <v>L609 (no. 3 - 5)</v>
      </c>
      <c r="W13" t="s">
        <v>36</v>
      </c>
      <c r="Z13" s="49"/>
      <c r="AA13" s="56">
        <f>O13*10000000+M13*10000+J13*10+Z13</f>
        <v>0</v>
      </c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</row>
    <row r="14" spans="2:39" ht="24.75" customHeight="1">
      <c r="B14" s="45"/>
      <c r="C14" s="40"/>
      <c r="D14" s="10"/>
      <c r="E14" s="10"/>
      <c r="F14" s="157"/>
      <c r="G14" s="57"/>
      <c r="H14" s="14"/>
      <c r="I14" s="15"/>
      <c r="J14" s="199"/>
      <c r="K14" s="224"/>
      <c r="L14" s="225"/>
      <c r="M14" s="200"/>
      <c r="N14" s="226"/>
      <c r="O14" s="240"/>
      <c r="P14" s="225"/>
      <c r="Q14" s="200"/>
      <c r="R14" s="48"/>
      <c r="S14" s="48"/>
      <c r="T14" s="48"/>
      <c r="V14" s="48"/>
      <c r="Z14" s="55"/>
      <c r="AA14" s="56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</row>
    <row r="15" spans="2:39" ht="12.75">
      <c r="B15" s="3" t="s">
        <v>37</v>
      </c>
      <c r="C15" s="40"/>
      <c r="D15" s="10"/>
      <c r="E15" s="10"/>
      <c r="F15" s="157"/>
      <c r="G15" s="40" t="str">
        <f>'AB(5)'!G46</f>
        <v>L610 (no. 3 - 5)</v>
      </c>
      <c r="H15" s="10" t="e">
        <f>'AB(5)'!H46</f>
        <v>#N/A</v>
      </c>
      <c r="I15" s="10" t="e">
        <f>'AB(5)'!I46</f>
        <v>#N/A</v>
      </c>
      <c r="J15" s="199">
        <f>SUM(J24,L24,K32,M32,K34,M34)</f>
        <v>0</v>
      </c>
      <c r="K15" s="224">
        <f>SUM(K24,M24,J32,L32,J34,L34)</f>
        <v>0</v>
      </c>
      <c r="L15" s="225"/>
      <c r="M15" s="200">
        <f>J15-K15</f>
        <v>0</v>
      </c>
      <c r="N15" s="226"/>
      <c r="O15" s="240">
        <f>SUM(N24,P24,O32,Q32,O34,Q34)</f>
        <v>0</v>
      </c>
      <c r="P15" s="225"/>
      <c r="Q15" s="200">
        <f>RANK(AA15,$AA$13:$AA$18)</f>
        <v>1</v>
      </c>
      <c r="R15" s="48" t="str">
        <f t="shared" si="0"/>
        <v>L610 (no. 3 - 5)</v>
      </c>
      <c r="S15" s="48" t="e">
        <f t="shared" si="0"/>
        <v>#N/A</v>
      </c>
      <c r="T15" s="48" t="e">
        <f t="shared" si="0"/>
        <v>#N/A</v>
      </c>
      <c r="V15" s="48" t="str">
        <f>G15</f>
        <v>L610 (no. 3 - 5)</v>
      </c>
      <c r="W15" t="s">
        <v>36</v>
      </c>
      <c r="Z15" s="55"/>
      <c r="AA15" s="56">
        <f>O15*10000000+M15*10000+J15*10+Z15</f>
        <v>0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</row>
    <row r="16" spans="2:39" ht="24.75" customHeight="1">
      <c r="B16" s="3"/>
      <c r="C16" s="40"/>
      <c r="D16" s="10"/>
      <c r="E16" s="10"/>
      <c r="F16" s="157"/>
      <c r="G16" s="57"/>
      <c r="H16" s="14"/>
      <c r="I16" s="15"/>
      <c r="J16" s="199"/>
      <c r="K16" s="224"/>
      <c r="L16" s="225"/>
      <c r="M16" s="200"/>
      <c r="N16" s="226"/>
      <c r="O16" s="240"/>
      <c r="P16" s="225"/>
      <c r="Q16" s="200"/>
      <c r="R16" s="48"/>
      <c r="S16" s="48"/>
      <c r="T16" s="48"/>
      <c r="V16" s="48"/>
      <c r="Z16" s="55"/>
      <c r="AA16" s="56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1"/>
    </row>
    <row r="17" spans="2:39" ht="12.75">
      <c r="B17" s="3" t="s">
        <v>104</v>
      </c>
      <c r="C17" s="57"/>
      <c r="D17" s="58"/>
      <c r="E17" s="14"/>
      <c r="F17" s="38"/>
      <c r="G17" s="57" t="str">
        <f>'AB(5)'!G47</f>
        <v>Stockholm Spikers</v>
      </c>
      <c r="H17" s="14" t="str">
        <f>'AB(5)'!H47</f>
        <v>Stockholm</v>
      </c>
      <c r="I17" s="14" t="str">
        <f>'AB(5)'!I47</f>
        <v>Sweden</v>
      </c>
      <c r="J17" s="227">
        <f>SUM(K24,M24,J29,L29,J36,L36)</f>
        <v>0</v>
      </c>
      <c r="K17" s="228">
        <f>SUM(J24,L24,K29,M29,K36,M36)</f>
        <v>0</v>
      </c>
      <c r="L17" s="229"/>
      <c r="M17" s="230">
        <f>J17-K17</f>
        <v>0</v>
      </c>
      <c r="N17" s="231"/>
      <c r="O17" s="241">
        <f>SUM(O24,Q24,N29,P29,N36,P36)</f>
        <v>0</v>
      </c>
      <c r="P17" s="229"/>
      <c r="Q17" s="230">
        <f>RANK(AA17,$AA$13:$AA$18)</f>
        <v>1</v>
      </c>
      <c r="R17" s="48" t="str">
        <f t="shared" si="0"/>
        <v>Stockholm Spikers</v>
      </c>
      <c r="S17" s="48" t="str">
        <f t="shared" si="0"/>
        <v>Stockholm</v>
      </c>
      <c r="T17" s="48" t="str">
        <f t="shared" si="0"/>
        <v>Sweden</v>
      </c>
      <c r="V17" s="48" t="str">
        <f>G17</f>
        <v>Stockholm Spikers</v>
      </c>
      <c r="W17" t="s">
        <v>105</v>
      </c>
      <c r="Z17" s="55"/>
      <c r="AA17" s="56">
        <f>O17*10000000+M17*10000+J17*10+Z17</f>
        <v>0</v>
      </c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1"/>
    </row>
    <row r="18" spans="2:39" ht="12.75" hidden="1">
      <c r="B18" s="3" t="s">
        <v>106</v>
      </c>
      <c r="C18" s="57"/>
      <c r="D18" s="173"/>
      <c r="E18" s="14"/>
      <c r="F18" s="38"/>
      <c r="G18" s="57"/>
      <c r="H18" s="14"/>
      <c r="I18" s="14"/>
      <c r="J18" s="59">
        <f>SUM(J27,L27,J32,L32,K36,M36)</f>
        <v>0</v>
      </c>
      <c r="K18" s="60">
        <f>SUM(K27,M27,K32,M32,J36,L36)</f>
        <v>0</v>
      </c>
      <c r="L18" s="61"/>
      <c r="M18" s="62">
        <f>J18-K18</f>
        <v>0</v>
      </c>
      <c r="N18" s="63"/>
      <c r="O18" s="62">
        <f>SUM(N27,P27,N32,P32,O36,Q36)</f>
        <v>0</v>
      </c>
      <c r="P18" s="61"/>
      <c r="Q18" s="62">
        <f>RANK(AA18,$AA$13:$AA$18)</f>
        <v>1</v>
      </c>
      <c r="R18" s="48">
        <f t="shared" si="0"/>
        <v>0</v>
      </c>
      <c r="S18" s="48">
        <f t="shared" si="0"/>
        <v>0</v>
      </c>
      <c r="T18" s="48">
        <f t="shared" si="0"/>
        <v>0</v>
      </c>
      <c r="V18" s="48">
        <f>G18</f>
        <v>0</v>
      </c>
      <c r="W18" t="s">
        <v>107</v>
      </c>
      <c r="Z18" s="64"/>
      <c r="AA18" s="44">
        <f>O18*10000000+M18*10000+J18*10+Z18</f>
        <v>0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1"/>
    </row>
    <row r="19" spans="3:39" s="65" customFormat="1" ht="12.75">
      <c r="C19" s="19"/>
      <c r="D19" s="66"/>
      <c r="E19" s="66"/>
      <c r="F19" s="67"/>
      <c r="G19" s="68"/>
      <c r="H19" s="66"/>
      <c r="I19" s="66"/>
      <c r="J19" s="69"/>
      <c r="K19" s="69"/>
      <c r="L19" s="69"/>
      <c r="M19" s="69"/>
      <c r="N19" s="69"/>
      <c r="O19" s="69"/>
      <c r="P19" s="69"/>
      <c r="Q19" s="19"/>
      <c r="AA1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0"/>
    </row>
    <row r="20" spans="3:39" s="65" customFormat="1" ht="12.75">
      <c r="C20" s="19"/>
      <c r="D20" s="66"/>
      <c r="E20" s="66"/>
      <c r="F20" s="67"/>
      <c r="G20" s="68"/>
      <c r="H20" s="66"/>
      <c r="I20" s="66"/>
      <c r="J20" s="69"/>
      <c r="K20" s="69"/>
      <c r="L20" s="69"/>
      <c r="M20" s="69"/>
      <c r="N20" s="69"/>
      <c r="O20" s="69"/>
      <c r="P20" s="69"/>
      <c r="Q20" s="1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70"/>
    </row>
    <row r="21" spans="3:39" ht="12.75">
      <c r="C21" s="32"/>
      <c r="D21" s="5"/>
      <c r="E21" s="5"/>
      <c r="F21" s="5"/>
      <c r="G21" s="5"/>
      <c r="H21" s="5"/>
      <c r="I21" s="6"/>
      <c r="J21" s="249" t="s">
        <v>39</v>
      </c>
      <c r="K21" s="250"/>
      <c r="L21" s="249" t="s">
        <v>40</v>
      </c>
      <c r="M21" s="250"/>
      <c r="N21" s="249" t="s">
        <v>39</v>
      </c>
      <c r="O21" s="250"/>
      <c r="P21" s="249" t="s">
        <v>40</v>
      </c>
      <c r="Q21" s="250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3:18" ht="12.75">
      <c r="C22" s="73" t="s">
        <v>18</v>
      </c>
      <c r="D22" s="74" t="s">
        <v>43</v>
      </c>
      <c r="E22" s="74" t="s">
        <v>17</v>
      </c>
      <c r="F22" s="75" t="s">
        <v>44</v>
      </c>
      <c r="G22" s="76" t="s">
        <v>45</v>
      </c>
      <c r="H22" s="77" t="s">
        <v>46</v>
      </c>
      <c r="I22" s="78" t="s">
        <v>47</v>
      </c>
      <c r="J22" s="79" t="s">
        <v>48</v>
      </c>
      <c r="K22" s="80" t="s">
        <v>49</v>
      </c>
      <c r="L22" s="79" t="s">
        <v>48</v>
      </c>
      <c r="M22" s="80" t="s">
        <v>49</v>
      </c>
      <c r="N22" s="79" t="s">
        <v>48</v>
      </c>
      <c r="O22" s="80" t="s">
        <v>49</v>
      </c>
      <c r="P22" s="79" t="s">
        <v>48</v>
      </c>
      <c r="Q22" s="80" t="s">
        <v>49</v>
      </c>
      <c r="R22" t="s">
        <v>50</v>
      </c>
    </row>
    <row r="23" spans="3:17" ht="12.75">
      <c r="C23" s="71"/>
      <c r="D23" s="25"/>
      <c r="E23" s="25"/>
      <c r="F23" s="25"/>
      <c r="G23" s="5"/>
      <c r="H23" s="5"/>
      <c r="I23" s="6"/>
      <c r="J23" s="71"/>
      <c r="K23" s="72"/>
      <c r="L23" s="71"/>
      <c r="M23" s="72"/>
      <c r="N23" s="97"/>
      <c r="O23" s="98"/>
      <c r="P23" s="71"/>
      <c r="Q23" s="72"/>
    </row>
    <row r="24" spans="3:18" ht="12.75">
      <c r="C24" s="84">
        <f>$B$10+(D24-$B$11)*($B$12/60/24+TIME(0,5,0))</f>
        <v>0.5416666666666666</v>
      </c>
      <c r="D24" s="85">
        <f>$B$11</f>
        <v>7</v>
      </c>
      <c r="E24" s="85">
        <f>$B$9</f>
        <v>9</v>
      </c>
      <c r="F24" s="85">
        <f>$E24+$D24*100</f>
        <v>709</v>
      </c>
      <c r="G24" s="86" t="str">
        <f>G15</f>
        <v>L610 (no. 3 - 5)</v>
      </c>
      <c r="H24" s="86" t="str">
        <f>G17</f>
        <v>Stockholm Spikers</v>
      </c>
      <c r="I24" s="87" t="str">
        <f>G13</f>
        <v>L609 (no. 3 - 5)</v>
      </c>
      <c r="J24" s="88"/>
      <c r="K24" s="87"/>
      <c r="L24" s="88"/>
      <c r="M24" s="87"/>
      <c r="N24" s="199" t="str">
        <f>IF(J24="","-",IF(J24&gt;K24,2,IF(J24=K24,1,0)))</f>
        <v>-</v>
      </c>
      <c r="O24" s="224" t="str">
        <f>IF(K24="","-",IF(K24&gt;J24,2,IF(K24=J24,1,0)))</f>
        <v>-</v>
      </c>
      <c r="P24" s="199" t="str">
        <f>IF(L24="","-",IF(L24&gt;M24,2,IF(L24=M24,1,0)))</f>
        <v>-</v>
      </c>
      <c r="Q24" s="200" t="str">
        <f>IF(M24="","-",IF(M24&gt;L24,2,IF(M24=L24,1,0)))</f>
        <v>-</v>
      </c>
      <c r="R24" t="str">
        <f>G13</f>
        <v>L609 (no. 3 - 5)</v>
      </c>
    </row>
    <row r="25" spans="3:17" ht="24.75" customHeight="1">
      <c r="C25" s="84"/>
      <c r="D25" s="85"/>
      <c r="E25" s="159"/>
      <c r="F25" s="159"/>
      <c r="G25" s="187"/>
      <c r="H25" s="187"/>
      <c r="I25" s="161"/>
      <c r="J25" s="88"/>
      <c r="K25" s="87"/>
      <c r="L25" s="88"/>
      <c r="M25" s="87"/>
      <c r="N25" s="199"/>
      <c r="O25" s="224"/>
      <c r="P25" s="199"/>
      <c r="Q25" s="200"/>
    </row>
    <row r="26" spans="3:26" ht="12.75">
      <c r="C26" s="84"/>
      <c r="D26" s="85"/>
      <c r="E26" s="85"/>
      <c r="F26" s="85"/>
      <c r="G26" s="30"/>
      <c r="H26" s="30"/>
      <c r="I26" s="87"/>
      <c r="J26" s="92"/>
      <c r="K26" s="93"/>
      <c r="L26" s="92"/>
      <c r="M26" s="93"/>
      <c r="N26" s="199"/>
      <c r="O26" s="200"/>
      <c r="P26" s="199"/>
      <c r="Q26" s="200"/>
      <c r="U26" s="10"/>
      <c r="V26" s="10"/>
      <c r="W26" s="10"/>
      <c r="X26" s="10"/>
      <c r="Y26" s="10"/>
      <c r="Z26" s="10"/>
    </row>
    <row r="27" spans="2:26" ht="12.75" hidden="1">
      <c r="B27" s="31"/>
      <c r="C27" s="84">
        <f>$B$10+(D27-$B$11)*($B$12/60/24+TIME(0,5,0))</f>
        <v>0.5694444444444444</v>
      </c>
      <c r="D27" s="85">
        <f>$B$11+1</f>
        <v>8</v>
      </c>
      <c r="E27" s="85">
        <f>$B$9</f>
        <v>9</v>
      </c>
      <c r="F27" s="85" t="str">
        <f>$B$6&amp;$E27+$D27*100</f>
        <v>AC809</v>
      </c>
      <c r="G27" s="86">
        <f>G18</f>
        <v>0</v>
      </c>
      <c r="H27" s="86" t="str">
        <f>G13</f>
        <v>L609 (no. 3 - 5)</v>
      </c>
      <c r="I27" s="87" t="str">
        <f>G15</f>
        <v>L610 (no. 3 - 5)</v>
      </c>
      <c r="J27" s="88"/>
      <c r="K27" s="87"/>
      <c r="L27" s="88"/>
      <c r="M27" s="87"/>
      <c r="N27" s="199" t="str">
        <f>IF(J27="","-",IF(J27&gt;K27,2,IF(J27=K27,1,0)))</f>
        <v>-</v>
      </c>
      <c r="O27" s="224" t="str">
        <f>IF(K27="","-",IF(K27&gt;J27,2,IF(K27=J27,1,0)))</f>
        <v>-</v>
      </c>
      <c r="P27" s="199" t="str">
        <f>IF(L27="","-",IF(L27&gt;M27,2,IF(L27=M27,1,0)))</f>
        <v>-</v>
      </c>
      <c r="Q27" s="200" t="str">
        <f>IF(M27="","-",IF(M27&gt;L27,2,IF(M27=L27,1,0)))</f>
        <v>-</v>
      </c>
      <c r="U27" s="10"/>
      <c r="V27" s="41"/>
      <c r="W27" s="41"/>
      <c r="X27" s="41"/>
      <c r="Y27" s="41"/>
      <c r="Z27" s="10"/>
    </row>
    <row r="28" spans="3:26" ht="12.75" hidden="1">
      <c r="C28" s="84"/>
      <c r="D28" s="85"/>
      <c r="E28" s="85"/>
      <c r="F28" s="85"/>
      <c r="G28" s="30"/>
      <c r="H28" s="30"/>
      <c r="I28" s="87"/>
      <c r="J28" s="92"/>
      <c r="K28" s="93"/>
      <c r="L28" s="92"/>
      <c r="M28" s="93"/>
      <c r="N28" s="199"/>
      <c r="O28" s="200"/>
      <c r="P28" s="199"/>
      <c r="Q28" s="200"/>
      <c r="U28" s="10"/>
      <c r="V28" s="41"/>
      <c r="W28" s="41"/>
      <c r="X28" s="41"/>
      <c r="Y28" s="41"/>
      <c r="Z28" s="10"/>
    </row>
    <row r="29" spans="3:26" ht="12.75">
      <c r="C29" s="84">
        <f>$B$10+(D29-$B$11)*($B$12/60/24+TIME(0,5,0))</f>
        <v>0.5694444444444444</v>
      </c>
      <c r="D29" s="85">
        <f>$B$11+1</f>
        <v>8</v>
      </c>
      <c r="E29" s="85">
        <f>$B$9</f>
        <v>9</v>
      </c>
      <c r="F29" s="85">
        <f>$E29+$D29*100</f>
        <v>809</v>
      </c>
      <c r="G29" s="86" t="str">
        <f>G17</f>
        <v>Stockholm Spikers</v>
      </c>
      <c r="H29" s="86" t="str">
        <f>G13</f>
        <v>L609 (no. 3 - 5)</v>
      </c>
      <c r="I29" s="87" t="str">
        <f>G15</f>
        <v>L610 (no. 3 - 5)</v>
      </c>
      <c r="J29" s="88"/>
      <c r="K29" s="87"/>
      <c r="L29" s="88"/>
      <c r="M29" s="87"/>
      <c r="N29" s="199" t="str">
        <f>IF(J29="","-",IF(J29&gt;K29,2,IF(J29=K29,1,0)))</f>
        <v>-</v>
      </c>
      <c r="O29" s="224" t="str">
        <f>IF(K29="","-",IF(K29&gt;J29,2,IF(K29=J29,1,0)))</f>
        <v>-</v>
      </c>
      <c r="P29" s="199" t="str">
        <f>IF(L29="","-",IF(L29&gt;M29,2,IF(L29=M29,1,0)))</f>
        <v>-</v>
      </c>
      <c r="Q29" s="200" t="str">
        <f>IF(M29="","-",IF(M29&gt;L29,2,IF(M29=L29,1,0)))</f>
        <v>-</v>
      </c>
      <c r="R29" t="str">
        <f>G15</f>
        <v>L610 (no. 3 - 5)</v>
      </c>
      <c r="U29" s="10"/>
      <c r="V29" s="41"/>
      <c r="W29" s="41"/>
      <c r="X29" s="41"/>
      <c r="Y29" s="41"/>
      <c r="Z29" s="10"/>
    </row>
    <row r="30" spans="3:26" ht="24.75" customHeight="1">
      <c r="C30" s="84"/>
      <c r="D30" s="85"/>
      <c r="E30" s="159"/>
      <c r="F30" s="159"/>
      <c r="G30" s="187"/>
      <c r="H30" s="187"/>
      <c r="I30" s="161"/>
      <c r="J30" s="88"/>
      <c r="K30" s="87"/>
      <c r="L30" s="88"/>
      <c r="M30" s="87"/>
      <c r="N30" s="199"/>
      <c r="O30" s="224"/>
      <c r="P30" s="199"/>
      <c r="Q30" s="200"/>
      <c r="U30" s="10"/>
      <c r="V30" s="41"/>
      <c r="W30" s="41"/>
      <c r="X30" s="41"/>
      <c r="Y30" s="41"/>
      <c r="Z30" s="10"/>
    </row>
    <row r="31" spans="3:26" ht="12.75">
      <c r="C31" s="84"/>
      <c r="D31" s="85"/>
      <c r="E31" s="85"/>
      <c r="F31" s="85"/>
      <c r="G31" s="10"/>
      <c r="H31" s="10"/>
      <c r="I31" s="94"/>
      <c r="J31" s="40"/>
      <c r="K31" s="11"/>
      <c r="L31" s="40"/>
      <c r="M31" s="11"/>
      <c r="N31" s="199"/>
      <c r="O31" s="200"/>
      <c r="P31" s="199"/>
      <c r="Q31" s="200"/>
      <c r="U31" s="10"/>
      <c r="V31" s="41"/>
      <c r="W31" s="41"/>
      <c r="X31" s="41"/>
      <c r="Y31" s="41"/>
      <c r="Z31" s="10"/>
    </row>
    <row r="32" spans="3:26" ht="25.5" hidden="1">
      <c r="C32" s="84">
        <f>$B$10+(D32-$B$11)*($B$12/60/24+TIME(0,5,0))</f>
        <v>0.625</v>
      </c>
      <c r="D32" s="85">
        <f>$B$11+3</f>
        <v>10</v>
      </c>
      <c r="E32" s="85">
        <f>$B$9</f>
        <v>9</v>
      </c>
      <c r="F32" s="85" t="str">
        <f>$B$6&amp;$E32+$D32*100</f>
        <v>AC1009</v>
      </c>
      <c r="G32" s="95">
        <f>G18</f>
        <v>0</v>
      </c>
      <c r="H32" s="95" t="str">
        <f>G15</f>
        <v>L610 (no. 3 - 5)</v>
      </c>
      <c r="I32" s="94" t="str">
        <f>G17</f>
        <v>Stockholm Spikers</v>
      </c>
      <c r="J32" s="96"/>
      <c r="K32" s="94"/>
      <c r="L32" s="96"/>
      <c r="M32" s="94"/>
      <c r="N32" s="199" t="str">
        <f>IF(J32="","-",IF(J32&gt;K32,2,IF(J32=K32,1,0)))</f>
        <v>-</v>
      </c>
      <c r="O32" s="224" t="str">
        <f>IF(K32="","-",IF(K32&gt;J32,2,IF(K32=J32,1,0)))</f>
        <v>-</v>
      </c>
      <c r="P32" s="199" t="str">
        <f>IF(L32="","-",IF(L32&gt;M32,2,IF(L32=M32,1,0)))</f>
        <v>-</v>
      </c>
      <c r="Q32" s="200" t="str">
        <f>IF(M32="","-",IF(M32&gt;L32,2,IF(M32=L32,1,0)))</f>
        <v>-</v>
      </c>
      <c r="U32" s="10"/>
      <c r="V32" s="41"/>
      <c r="W32" s="41"/>
      <c r="X32" s="41"/>
      <c r="Y32" s="41"/>
      <c r="Z32" s="10"/>
    </row>
    <row r="33" spans="3:26" ht="12.75" hidden="1">
      <c r="C33" s="84"/>
      <c r="D33" s="85"/>
      <c r="E33" s="85"/>
      <c r="F33" s="85"/>
      <c r="G33" s="10"/>
      <c r="H33" s="10"/>
      <c r="I33" s="94"/>
      <c r="J33" s="40"/>
      <c r="K33" s="11"/>
      <c r="L33" s="40"/>
      <c r="M33" s="11"/>
      <c r="N33" s="199"/>
      <c r="O33" s="200"/>
      <c r="P33" s="199"/>
      <c r="Q33" s="200"/>
      <c r="U33" s="10"/>
      <c r="V33" s="41"/>
      <c r="W33" s="41"/>
      <c r="X33" s="41"/>
      <c r="Y33" s="41"/>
      <c r="Z33" s="10"/>
    </row>
    <row r="34" spans="3:26" ht="12.75">
      <c r="C34" s="84">
        <f>$B$10+(D34-$B$11)*($B$12/60/24+TIME(0,5,0))</f>
        <v>0.5972222222222222</v>
      </c>
      <c r="D34" s="85">
        <f>$B$11+2</f>
        <v>9</v>
      </c>
      <c r="E34" s="85">
        <f>$B$9</f>
        <v>9</v>
      </c>
      <c r="F34" s="85">
        <f>$E34+$D34*100</f>
        <v>909</v>
      </c>
      <c r="G34" s="95" t="str">
        <f>G13</f>
        <v>L609 (no. 3 - 5)</v>
      </c>
      <c r="H34" s="95" t="str">
        <f>G15</f>
        <v>L610 (no. 3 - 5)</v>
      </c>
      <c r="I34" s="94" t="str">
        <f>G17</f>
        <v>Stockholm Spikers</v>
      </c>
      <c r="J34" s="96"/>
      <c r="K34" s="94"/>
      <c r="L34" s="96"/>
      <c r="M34" s="94"/>
      <c r="N34" s="199" t="str">
        <f>IF(J34="","-",IF(J34&gt;K34,2,IF(J34=K34,1,0)))</f>
        <v>-</v>
      </c>
      <c r="O34" s="224" t="str">
        <f>IF(K34="","-",IF(K34&gt;J34,2,IF(K34=J34,1,0)))</f>
        <v>-</v>
      </c>
      <c r="P34" s="199" t="str">
        <f>IF(L34="","-",IF(L34&gt;M34,2,IF(L34=M34,1,0)))</f>
        <v>-</v>
      </c>
      <c r="Q34" s="200" t="str">
        <f>IF(M34="","-",IF(M34&gt;L34,2,IF(M34=L34,1,0)))</f>
        <v>-</v>
      </c>
      <c r="U34" s="10"/>
      <c r="V34" s="41"/>
      <c r="W34" s="41"/>
      <c r="X34" s="41"/>
      <c r="Y34" s="41"/>
      <c r="Z34" s="10"/>
    </row>
    <row r="35" spans="3:26" ht="12.75" hidden="1">
      <c r="C35" s="84"/>
      <c r="D35" s="85"/>
      <c r="E35" s="85"/>
      <c r="F35" s="85"/>
      <c r="G35" s="95"/>
      <c r="H35" s="95"/>
      <c r="I35" s="94"/>
      <c r="J35" s="96"/>
      <c r="K35" s="94"/>
      <c r="L35" s="96"/>
      <c r="M35" s="94"/>
      <c r="N35" s="51"/>
      <c r="O35" s="53"/>
      <c r="P35" s="51"/>
      <c r="Q35" s="53"/>
      <c r="U35" s="10"/>
      <c r="V35" s="41"/>
      <c r="W35" s="41"/>
      <c r="X35" s="41"/>
      <c r="Y35" s="41"/>
      <c r="Z35" s="10"/>
    </row>
    <row r="36" spans="3:26" ht="25.5" hidden="1">
      <c r="C36" s="84">
        <f>$B$10+(D36-$B$11)*($B$12/60/24+TIME(0,5,0))</f>
        <v>0.6805555555555556</v>
      </c>
      <c r="D36" s="85">
        <f>$B$11+5</f>
        <v>12</v>
      </c>
      <c r="E36" s="85">
        <f>$B$9</f>
        <v>9</v>
      </c>
      <c r="F36" s="85" t="str">
        <f>$B$6&amp;$E36+$D36*100</f>
        <v>AC1209</v>
      </c>
      <c r="G36" s="95" t="str">
        <f>G17</f>
        <v>Stockholm Spikers</v>
      </c>
      <c r="H36" s="95">
        <f>G18</f>
        <v>0</v>
      </c>
      <c r="I36" s="94" t="str">
        <f>G13</f>
        <v>L609 (no. 3 - 5)</v>
      </c>
      <c r="J36" s="96"/>
      <c r="K36" s="94"/>
      <c r="L36" s="96"/>
      <c r="M36" s="94"/>
      <c r="N36" s="51" t="str">
        <f>IF(J36="","-",IF(J36&gt;K36,2,IF(J36=K36,1,0)))</f>
        <v>-</v>
      </c>
      <c r="O36" s="52" t="str">
        <f>IF(K36="","-",IF(K36&gt;J36,2,IF(K36=J36,1,0)))</f>
        <v>-</v>
      </c>
      <c r="P36" s="51" t="str">
        <f>IF(L36="","-",IF(L36&gt;M36,2,IF(L36=M36,1,0)))</f>
        <v>-</v>
      </c>
      <c r="Q36" s="53" t="str">
        <f>IF(M36="","-",IF(M36&gt;L36,2,IF(M36=L36,1,0)))</f>
        <v>-</v>
      </c>
      <c r="U36" s="10"/>
      <c r="V36" s="41"/>
      <c r="W36" s="41"/>
      <c r="X36" s="41"/>
      <c r="Y36" s="41"/>
      <c r="Z36" s="10"/>
    </row>
    <row r="37" spans="3:26" ht="24.75" customHeight="1">
      <c r="C37" s="84"/>
      <c r="D37" s="85"/>
      <c r="E37" s="159"/>
      <c r="F37" s="159"/>
      <c r="G37" s="232"/>
      <c r="H37" s="232"/>
      <c r="I37" s="78"/>
      <c r="J37" s="96"/>
      <c r="K37" s="94"/>
      <c r="L37" s="96"/>
      <c r="M37" s="94"/>
      <c r="N37" s="51"/>
      <c r="O37" s="52"/>
      <c r="P37" s="51"/>
      <c r="Q37" s="53"/>
      <c r="U37" s="10"/>
      <c r="V37" s="41"/>
      <c r="W37" s="41"/>
      <c r="X37" s="41"/>
      <c r="Y37" s="41"/>
      <c r="Z37" s="10"/>
    </row>
    <row r="38" spans="2:26" ht="12.75">
      <c r="B38" s="3"/>
      <c r="C38" s="84"/>
      <c r="D38" s="85"/>
      <c r="E38" s="85"/>
      <c r="F38" s="85"/>
      <c r="G38" s="95"/>
      <c r="H38" s="95"/>
      <c r="I38" s="94"/>
      <c r="J38" s="97"/>
      <c r="K38" s="98"/>
      <c r="L38" s="97"/>
      <c r="M38" s="98"/>
      <c r="N38" s="99"/>
      <c r="O38" s="139"/>
      <c r="P38" s="99"/>
      <c r="Q38" s="100"/>
      <c r="U38" s="10"/>
      <c r="V38" s="10"/>
      <c r="W38" s="10"/>
      <c r="X38" s="10"/>
      <c r="Y38" s="10"/>
      <c r="Z38" s="10"/>
    </row>
    <row r="39" spans="2:26" ht="12.75" customHeight="1">
      <c r="B39" s="174" t="s">
        <v>108</v>
      </c>
      <c r="C39" s="84">
        <f>$B$10+(D39-$B$11)*($B$12/60/24+TIME(0,5,0))</f>
        <v>0.625</v>
      </c>
      <c r="D39" s="201">
        <f>$B$11+3</f>
        <v>10</v>
      </c>
      <c r="E39" s="102" t="s">
        <v>51</v>
      </c>
      <c r="F39" s="258" t="s">
        <v>97</v>
      </c>
      <c r="G39" s="258"/>
      <c r="H39" s="258"/>
      <c r="I39" s="259"/>
      <c r="J39" s="97"/>
      <c r="K39" s="98"/>
      <c r="L39" s="97"/>
      <c r="M39" s="98"/>
      <c r="N39" s="99"/>
      <c r="O39" s="139"/>
      <c r="P39" s="99"/>
      <c r="Q39" s="100"/>
      <c r="U39" s="10"/>
      <c r="V39" s="10"/>
      <c r="W39" s="10"/>
      <c r="X39" s="10"/>
      <c r="Y39" s="10"/>
      <c r="Z39" s="10"/>
    </row>
    <row r="40" spans="2:17" ht="12.75">
      <c r="B40" s="3"/>
      <c r="C40" s="73"/>
      <c r="D40" s="14"/>
      <c r="E40" s="14"/>
      <c r="F40" s="14"/>
      <c r="G40" s="14"/>
      <c r="H40" s="14"/>
      <c r="I40" s="15"/>
      <c r="J40" s="57"/>
      <c r="K40" s="15"/>
      <c r="L40" s="57"/>
      <c r="M40" s="15"/>
      <c r="N40" s="57"/>
      <c r="O40" s="15"/>
      <c r="P40" s="57"/>
      <c r="Q40" s="15"/>
    </row>
    <row r="41" spans="3:17" ht="12.75">
      <c r="C41" s="105"/>
      <c r="D41" s="85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3" spans="3:17" ht="12.75" customHeight="1">
      <c r="C43" s="252" t="str">
        <f>$B$4&amp;" "&amp;$B$5</f>
        <v>Men A</v>
      </c>
      <c r="D43" s="253"/>
      <c r="E43" s="254"/>
      <c r="F43" s="32"/>
      <c r="G43" s="5"/>
      <c r="H43" s="5"/>
      <c r="I43" s="6"/>
      <c r="J43" s="10"/>
      <c r="K43" s="10"/>
      <c r="L43" s="10"/>
      <c r="M43" s="10"/>
      <c r="N43" s="10"/>
      <c r="O43" s="10"/>
      <c r="P43" s="10"/>
      <c r="Q43" s="10"/>
    </row>
    <row r="44" spans="3:17" ht="12.75" customHeight="1">
      <c r="C44" s="279"/>
      <c r="D44" s="280"/>
      <c r="E44" s="281"/>
      <c r="F44" s="73" t="str">
        <f>$Q$12</f>
        <v>Rank</v>
      </c>
      <c r="G44" s="14" t="str">
        <f>$G$12</f>
        <v>Team</v>
      </c>
      <c r="H44" s="14" t="str">
        <f>$H$12</f>
        <v>City</v>
      </c>
      <c r="I44" s="15" t="str">
        <f>$I$12</f>
        <v>Country</v>
      </c>
      <c r="J44" s="10"/>
      <c r="K44" s="10"/>
      <c r="L44" s="10"/>
      <c r="M44" s="10"/>
      <c r="N44" s="10"/>
      <c r="O44" s="10"/>
      <c r="P44" s="10"/>
      <c r="Q44" s="10"/>
    </row>
    <row r="45" spans="2:17" ht="12.75">
      <c r="B45" s="3" t="s">
        <v>37</v>
      </c>
      <c r="C45" s="40"/>
      <c r="D45" s="41"/>
      <c r="E45" s="178">
        <v>11</v>
      </c>
      <c r="F45" s="97" t="str">
        <f>$B$6&amp;"1"</f>
        <v>AC1</v>
      </c>
      <c r="G45" s="10" t="str">
        <f>VLOOKUP(1,Q13:T18,2,FALSE)</f>
        <v>L609 (no. 3 - 5)</v>
      </c>
      <c r="H45" s="10" t="e">
        <f>VLOOKUP(1,Q13:T18,3,FALSE)</f>
        <v>#N/A</v>
      </c>
      <c r="I45" s="11" t="e">
        <f>VLOOKUP(1,Q13:T18,4,FALSE)</f>
        <v>#N/A</v>
      </c>
      <c r="J45" s="10"/>
      <c r="K45" s="10"/>
      <c r="L45" s="10"/>
      <c r="M45" s="10"/>
      <c r="N45" s="175"/>
      <c r="O45" s="10"/>
      <c r="P45" s="278"/>
      <c r="Q45" s="278"/>
    </row>
    <row r="46" spans="2:17" ht="12.75">
      <c r="B46" s="3" t="s">
        <v>109</v>
      </c>
      <c r="C46" s="40"/>
      <c r="D46" s="41"/>
      <c r="E46" s="178">
        <v>12</v>
      </c>
      <c r="F46" s="97" t="str">
        <f>$B$6&amp;"2"</f>
        <v>AC2</v>
      </c>
      <c r="G46" s="10" t="e">
        <f>VLOOKUP(2,Q13:T18,2,FALSE)</f>
        <v>#N/A</v>
      </c>
      <c r="H46" s="10" t="e">
        <f>VLOOKUP(2,Q13:T18,3,FALSE)</f>
        <v>#N/A</v>
      </c>
      <c r="I46" s="11" t="e">
        <f>VLOOKUP(2,Q13:T18,4,FALSE)</f>
        <v>#N/A</v>
      </c>
      <c r="J46" s="10"/>
      <c r="K46" s="10"/>
      <c r="L46" s="10"/>
      <c r="M46" s="10"/>
      <c r="N46" s="175"/>
      <c r="O46" s="10"/>
      <c r="P46" s="23"/>
      <c r="Q46" s="23"/>
    </row>
    <row r="47" spans="2:17" ht="12.75">
      <c r="B47" s="3" t="s">
        <v>110</v>
      </c>
      <c r="C47" s="57"/>
      <c r="D47" s="14"/>
      <c r="E47" s="179">
        <v>13</v>
      </c>
      <c r="F47" s="73" t="str">
        <f>$B$6&amp;"3"</f>
        <v>AC3</v>
      </c>
      <c r="G47" s="14" t="e">
        <f>VLOOKUP(3,Q13:T18,2,FALSE)</f>
        <v>#N/A</v>
      </c>
      <c r="H47" s="14" t="e">
        <f>VLOOKUP(3,Q13:T18,3,FALSE)</f>
        <v>#N/A</v>
      </c>
      <c r="I47" s="15" t="e">
        <f>VLOOKUP(3,Q13:T18,4,FALSE)</f>
        <v>#N/A</v>
      </c>
      <c r="J47" s="177"/>
      <c r="K47" s="10"/>
      <c r="L47" s="10"/>
      <c r="M47" s="10"/>
      <c r="N47" s="175"/>
      <c r="O47" s="10"/>
      <c r="P47" s="278"/>
      <c r="Q47" s="278"/>
    </row>
    <row r="48" spans="10:17" ht="12.75">
      <c r="J48" s="10"/>
      <c r="K48" s="10"/>
      <c r="L48" s="10"/>
      <c r="M48" s="10"/>
      <c r="N48" s="175"/>
      <c r="O48" s="10"/>
      <c r="P48" s="176"/>
      <c r="Q48" s="176"/>
    </row>
  </sheetData>
  <mergeCells count="11">
    <mergeCell ref="C4:F6"/>
    <mergeCell ref="C7:F8"/>
    <mergeCell ref="F39:I39"/>
    <mergeCell ref="C43:E44"/>
    <mergeCell ref="J21:K21"/>
    <mergeCell ref="L21:M21"/>
    <mergeCell ref="C11:F12"/>
    <mergeCell ref="P47:Q47"/>
    <mergeCell ref="N21:O21"/>
    <mergeCell ref="P21:Q21"/>
    <mergeCell ref="P45:Q45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&amp;L&amp;A&amp;RFriday, June 17 2005</oddHeader>
    <oddFooter>&amp;L&amp;F&amp;R&amp;P</oddFooter>
  </headerFooter>
  <rowBreaks count="2" manualBreakCount="2">
    <brk id="3" max="255" man="1"/>
    <brk id="41" min="2" max="16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U42"/>
  <sheetViews>
    <sheetView zoomScale="50" zoomScaleNormal="50" workbookViewId="0" topLeftCell="A10">
      <selection activeCell="G13" sqref="G13"/>
    </sheetView>
  </sheetViews>
  <sheetFormatPr defaultColWidth="9.140625" defaultRowHeight="12.75"/>
  <cols>
    <col min="3" max="6" width="6.7109375" style="0" customWidth="1"/>
    <col min="7" max="7" width="20.7109375" style="113" customWidth="1"/>
    <col min="8" max="13" width="6.7109375" style="0" customWidth="1"/>
    <col min="14" max="14" width="10.7109375" style="0" customWidth="1"/>
    <col min="15" max="15" width="6.7109375" style="0" customWidth="1"/>
    <col min="16" max="16" width="10.7109375" style="0" customWidth="1"/>
    <col min="17" max="17" width="6.7109375" style="0" customWidth="1"/>
    <col min="18" max="18" width="10.7109375" style="0" customWidth="1"/>
    <col min="19" max="19" width="6.7109375" style="0" customWidth="1"/>
    <col min="20" max="20" width="10.7109375" style="0" customWidth="1"/>
    <col min="21" max="21" width="6.7109375" style="0" customWidth="1"/>
    <col min="22" max="22" width="2.7109375" style="0" customWidth="1"/>
  </cols>
  <sheetData>
    <row r="3" ht="13.5" thickBot="1"/>
    <row r="4" spans="1:13" ht="12.75" customHeight="1">
      <c r="A4" t="s">
        <v>10</v>
      </c>
      <c r="B4" s="16" t="s">
        <v>72</v>
      </c>
      <c r="C4" s="260" t="str">
        <f>$B$4&amp;" "&amp;$B$5</f>
        <v>Men A</v>
      </c>
      <c r="D4" s="261"/>
      <c r="E4" s="261"/>
      <c r="F4" s="262"/>
      <c r="G4" s="170"/>
      <c r="H4" s="106"/>
      <c r="I4" s="107" t="s">
        <v>53</v>
      </c>
      <c r="J4" s="108"/>
      <c r="K4" s="109"/>
      <c r="L4" s="109"/>
      <c r="M4" s="30"/>
    </row>
    <row r="5" spans="2:13" ht="12.75" customHeight="1">
      <c r="B5" s="18" t="s">
        <v>12</v>
      </c>
      <c r="C5" s="263"/>
      <c r="D5" s="264"/>
      <c r="E5" s="264"/>
      <c r="F5" s="265"/>
      <c r="G5" s="171"/>
      <c r="H5" s="106"/>
      <c r="I5" s="107" t="s">
        <v>53</v>
      </c>
      <c r="J5" s="108"/>
      <c r="K5" s="109"/>
      <c r="L5" s="109"/>
      <c r="M5" s="30"/>
    </row>
    <row r="6" spans="1:13" ht="12.75" customHeight="1">
      <c r="A6" s="18" t="s">
        <v>101</v>
      </c>
      <c r="B6" s="18" t="s">
        <v>103</v>
      </c>
      <c r="C6" s="263"/>
      <c r="D6" s="264"/>
      <c r="E6" s="264"/>
      <c r="F6" s="265"/>
      <c r="G6" s="172"/>
      <c r="H6" s="106"/>
      <c r="I6" s="107" t="s">
        <v>53</v>
      </c>
      <c r="J6" s="108"/>
      <c r="K6" s="109"/>
      <c r="L6" s="109"/>
      <c r="M6" s="30"/>
    </row>
    <row r="7" spans="1:13" ht="12.75" customHeight="1">
      <c r="A7" s="18"/>
      <c r="B7" s="18"/>
      <c r="C7" s="266" t="str">
        <f>11&amp;" - "&amp;13&amp;" ranking"</f>
        <v>11 - 13 ranking</v>
      </c>
      <c r="D7" s="267"/>
      <c r="E7" s="267"/>
      <c r="F7" s="268"/>
      <c r="G7" s="140"/>
      <c r="H7" s="107"/>
      <c r="I7" s="107" t="s">
        <v>53</v>
      </c>
      <c r="J7" s="108"/>
      <c r="K7" s="109"/>
      <c r="L7" s="109"/>
      <c r="M7" s="30"/>
    </row>
    <row r="8" spans="1:13" ht="13.5" customHeight="1" thickBot="1">
      <c r="A8" s="18" t="s">
        <v>14</v>
      </c>
      <c r="B8" s="26" t="s">
        <v>15</v>
      </c>
      <c r="C8" s="269"/>
      <c r="D8" s="270"/>
      <c r="E8" s="270"/>
      <c r="F8" s="271"/>
      <c r="G8" s="141"/>
      <c r="H8" s="107"/>
      <c r="I8" s="107" t="s">
        <v>53</v>
      </c>
      <c r="J8" s="108"/>
      <c r="K8" s="109"/>
      <c r="L8" s="109"/>
      <c r="M8" s="30"/>
    </row>
    <row r="9" spans="1:13" ht="17.25" customHeight="1">
      <c r="A9" s="18" t="s">
        <v>17</v>
      </c>
      <c r="B9" s="26">
        <v>9</v>
      </c>
      <c r="C9" s="28"/>
      <c r="D9" s="28"/>
      <c r="E9" s="28"/>
      <c r="F9" s="28"/>
      <c r="G9"/>
      <c r="H9" s="9"/>
      <c r="I9" s="107" t="s">
        <v>53</v>
      </c>
      <c r="J9" s="108"/>
      <c r="K9" s="109"/>
      <c r="L9" s="109"/>
      <c r="M9" s="30"/>
    </row>
    <row r="10" spans="1:13" ht="12.75">
      <c r="A10" s="18" t="s">
        <v>18</v>
      </c>
      <c r="B10" s="29">
        <v>0.5416666666666666</v>
      </c>
      <c r="G10"/>
      <c r="H10" s="9"/>
      <c r="I10" s="107" t="s">
        <v>53</v>
      </c>
      <c r="J10" s="108"/>
      <c r="K10" s="109"/>
      <c r="L10" s="109"/>
      <c r="M10" s="30"/>
    </row>
    <row r="11" spans="1:13" ht="12.75" customHeight="1">
      <c r="A11" t="s">
        <v>19</v>
      </c>
      <c r="B11" s="26">
        <v>7</v>
      </c>
      <c r="C11" s="272" t="str">
        <f>$A$6&amp;" "&amp;$B$6</f>
        <v>Group AC</v>
      </c>
      <c r="D11" s="273"/>
      <c r="E11" s="273"/>
      <c r="F11" s="274"/>
      <c r="G11" s="32"/>
      <c r="H11" s="9"/>
      <c r="I11" s="107" t="s">
        <v>53</v>
      </c>
      <c r="J11" s="108"/>
      <c r="K11" s="109"/>
      <c r="L11" s="109"/>
      <c r="M11" s="30"/>
    </row>
    <row r="12" spans="1:13" ht="12.75" customHeight="1">
      <c r="A12" t="s">
        <v>26</v>
      </c>
      <c r="B12" s="26">
        <v>35</v>
      </c>
      <c r="C12" s="275"/>
      <c r="D12" s="276"/>
      <c r="E12" s="276"/>
      <c r="F12" s="277"/>
      <c r="G12" s="96" t="s">
        <v>27</v>
      </c>
      <c r="H12" s="110"/>
      <c r="I12" s="107" t="s">
        <v>53</v>
      </c>
      <c r="J12" s="108"/>
      <c r="K12" s="109"/>
      <c r="L12" s="109"/>
      <c r="M12" s="30"/>
    </row>
    <row r="13" spans="1:13" ht="12.75">
      <c r="A13" t="s">
        <v>35</v>
      </c>
      <c r="B13" s="45">
        <f>(B12+5)/2</f>
        <v>20</v>
      </c>
      <c r="C13" s="32"/>
      <c r="D13" s="5"/>
      <c r="E13" s="5"/>
      <c r="F13" s="156"/>
      <c r="G13" s="32" t="str">
        <f>'AB(5)'!G45</f>
        <v>L609 (no. 3 - 5)</v>
      </c>
      <c r="H13" s="110"/>
      <c r="I13" s="107" t="s">
        <v>53</v>
      </c>
      <c r="J13" s="108"/>
      <c r="K13" s="109"/>
      <c r="L13" s="109"/>
      <c r="M13" s="30"/>
    </row>
    <row r="14" spans="2:13" ht="12.75">
      <c r="B14" s="3" t="s">
        <v>37</v>
      </c>
      <c r="C14" s="40"/>
      <c r="D14" s="10"/>
      <c r="E14" s="10"/>
      <c r="F14" s="157"/>
      <c r="G14" s="40" t="str">
        <f>'AB(5)'!G46</f>
        <v>L610 (no. 3 - 5)</v>
      </c>
      <c r="H14" s="110"/>
      <c r="I14" s="107" t="s">
        <v>53</v>
      </c>
      <c r="J14" s="108"/>
      <c r="K14" s="109"/>
      <c r="L14" s="109"/>
      <c r="M14" s="30"/>
    </row>
    <row r="15" spans="2:13" ht="12.75">
      <c r="B15" s="3" t="s">
        <v>104</v>
      </c>
      <c r="C15" s="57"/>
      <c r="D15" s="58"/>
      <c r="E15" s="14"/>
      <c r="F15" s="38"/>
      <c r="G15" s="57" t="str">
        <f>'AB(5)'!G47</f>
        <v>Stockholm Spikers</v>
      </c>
      <c r="H15" s="110"/>
      <c r="I15" s="107" t="s">
        <v>53</v>
      </c>
      <c r="J15" s="108"/>
      <c r="K15" s="109"/>
      <c r="L15" s="109"/>
      <c r="M15" s="30"/>
    </row>
    <row r="16" spans="1:7" s="3" customFormat="1" ht="12.75">
      <c r="A16" s="111" t="s">
        <v>54</v>
      </c>
      <c r="B16" s="111" t="s">
        <v>54</v>
      </c>
      <c r="C16" s="111" t="s">
        <v>54</v>
      </c>
      <c r="D16" s="111" t="s">
        <v>54</v>
      </c>
      <c r="E16" s="111" t="s">
        <v>54</v>
      </c>
      <c r="F16" s="111" t="s">
        <v>54</v>
      </c>
      <c r="G16" s="111" t="s">
        <v>54</v>
      </c>
    </row>
    <row r="17" spans="4:7" s="3" customFormat="1" ht="12.75">
      <c r="D17" s="3" t="s">
        <v>55</v>
      </c>
      <c r="G17" s="112"/>
    </row>
    <row r="18" s="3" customFormat="1" ht="13.5" thickBot="1">
      <c r="G18" s="112"/>
    </row>
    <row r="19" spans="1:21" ht="12.75" customHeight="1">
      <c r="A19" s="31"/>
      <c r="B19" s="30"/>
      <c r="C19" s="260" t="str">
        <f>$B$4&amp;" "&amp;$B$5</f>
        <v>Men A</v>
      </c>
      <c r="D19" s="261"/>
      <c r="E19" s="261"/>
      <c r="F19" s="262"/>
      <c r="H19" s="291" t="str">
        <f>C28</f>
        <v>L609 (no. 3 - 5)</v>
      </c>
      <c r="I19" s="291"/>
      <c r="J19" s="291" t="str">
        <f>C29</f>
        <v>L610 (no. 3 - 5)</v>
      </c>
      <c r="K19" s="291"/>
      <c r="L19" s="291" t="str">
        <f>C30</f>
        <v>Stockholm Spikers</v>
      </c>
      <c r="M19" s="291"/>
      <c r="N19" s="41"/>
      <c r="O19" s="41"/>
      <c r="P19" s="41"/>
      <c r="R19" s="71"/>
      <c r="S19" s="17" t="str">
        <f>$A$8&amp;":"</f>
        <v>Venue:</v>
      </c>
      <c r="T19" s="5" t="str">
        <f>$B$8</f>
        <v>Olympos</v>
      </c>
      <c r="U19" s="6"/>
    </row>
    <row r="20" spans="1:21" ht="12.75" customHeight="1">
      <c r="A20" s="31"/>
      <c r="B20" s="31"/>
      <c r="C20" s="263"/>
      <c r="D20" s="264"/>
      <c r="E20" s="264"/>
      <c r="F20" s="265"/>
      <c r="H20" s="291"/>
      <c r="I20" s="291"/>
      <c r="J20" s="291"/>
      <c r="K20" s="291"/>
      <c r="L20" s="291"/>
      <c r="M20" s="291"/>
      <c r="N20" s="41"/>
      <c r="O20" s="41"/>
      <c r="P20" s="41"/>
      <c r="R20" s="97"/>
      <c r="S20" s="19" t="str">
        <f>$A$9&amp;":"</f>
        <v>Court:</v>
      </c>
      <c r="T20" s="114">
        <f>$B$9</f>
        <v>9</v>
      </c>
      <c r="U20" s="11"/>
    </row>
    <row r="21" spans="1:21" ht="12.75" customHeight="1">
      <c r="A21" s="31"/>
      <c r="B21" s="31"/>
      <c r="C21" s="263"/>
      <c r="D21" s="264"/>
      <c r="E21" s="264"/>
      <c r="F21" s="265"/>
      <c r="G21" s="115"/>
      <c r="H21" s="291"/>
      <c r="I21" s="291"/>
      <c r="J21" s="291"/>
      <c r="K21" s="291"/>
      <c r="L21" s="291"/>
      <c r="M21" s="291"/>
      <c r="N21" s="41"/>
      <c r="O21" s="41"/>
      <c r="P21" s="41"/>
      <c r="R21" s="73"/>
      <c r="S21" s="58" t="str">
        <f>$A$10&amp;":"</f>
        <v>Time:</v>
      </c>
      <c r="T21" s="116">
        <f>$B$10</f>
        <v>0.5416666666666666</v>
      </c>
      <c r="U21" s="15"/>
    </row>
    <row r="22" spans="1:20" ht="12.75" customHeight="1">
      <c r="A22" s="31"/>
      <c r="B22" s="31"/>
      <c r="C22" s="263"/>
      <c r="D22" s="264"/>
      <c r="E22" s="264"/>
      <c r="F22" s="265"/>
      <c r="G22" s="117"/>
      <c r="H22" s="291"/>
      <c r="I22" s="291"/>
      <c r="J22" s="291"/>
      <c r="K22" s="291"/>
      <c r="L22" s="291"/>
      <c r="M22" s="291"/>
      <c r="N22" s="41"/>
      <c r="O22" s="41"/>
      <c r="P22" s="41"/>
      <c r="R22" s="41"/>
      <c r="S22" s="41"/>
      <c r="T22" s="41"/>
    </row>
    <row r="23" spans="1:20" ht="12.75" customHeight="1" thickBot="1">
      <c r="A23" s="31"/>
      <c r="B23" s="118"/>
      <c r="C23" s="285"/>
      <c r="D23" s="286"/>
      <c r="E23" s="286"/>
      <c r="F23" s="287"/>
      <c r="H23" s="291"/>
      <c r="I23" s="291"/>
      <c r="J23" s="291"/>
      <c r="K23" s="291"/>
      <c r="L23" s="291"/>
      <c r="M23" s="291"/>
      <c r="N23" s="41"/>
      <c r="O23" s="41"/>
      <c r="P23" s="41"/>
      <c r="R23" s="41"/>
      <c r="S23" s="41"/>
      <c r="T23" s="41"/>
    </row>
    <row r="24" spans="1:20" ht="126.75" customHeight="1">
      <c r="A24" s="31"/>
      <c r="B24" s="118"/>
      <c r="C24" s="28"/>
      <c r="D24" s="28"/>
      <c r="E24" s="28"/>
      <c r="F24" s="28"/>
      <c r="H24" s="291"/>
      <c r="I24" s="291"/>
      <c r="J24" s="291"/>
      <c r="K24" s="291"/>
      <c r="L24" s="291"/>
      <c r="M24" s="291"/>
      <c r="N24" s="41"/>
      <c r="O24" s="41"/>
      <c r="P24" s="41"/>
      <c r="R24" s="41"/>
      <c r="S24" s="41"/>
      <c r="T24" s="41"/>
    </row>
    <row r="25" spans="1:20" ht="13.5" thickBot="1">
      <c r="A25" s="31"/>
      <c r="B25" s="119"/>
      <c r="H25" s="291"/>
      <c r="I25" s="291"/>
      <c r="J25" s="291"/>
      <c r="K25" s="291"/>
      <c r="L25" s="291"/>
      <c r="M25" s="291"/>
      <c r="N25" s="41"/>
      <c r="O25" s="41"/>
      <c r="P25" s="41"/>
      <c r="R25" s="41"/>
      <c r="S25" s="41"/>
      <c r="T25" s="41"/>
    </row>
    <row r="26" spans="1:21" ht="12.75" customHeight="1">
      <c r="A26" s="31"/>
      <c r="B26" s="118"/>
      <c r="C26" s="272" t="str">
        <f>$A$6&amp;" "&amp;$B$6</f>
        <v>Group AC</v>
      </c>
      <c r="D26" s="273"/>
      <c r="E26" s="273"/>
      <c r="F26" s="273"/>
      <c r="G26" s="283"/>
      <c r="H26" s="292"/>
      <c r="I26" s="291"/>
      <c r="J26" s="291"/>
      <c r="K26" s="291"/>
      <c r="L26" s="291"/>
      <c r="M26" s="291"/>
      <c r="N26" s="288" t="s">
        <v>56</v>
      </c>
      <c r="O26" s="289"/>
      <c r="P26" s="289"/>
      <c r="Q26" s="290"/>
      <c r="R26" s="288" t="s">
        <v>57</v>
      </c>
      <c r="S26" s="289"/>
      <c r="T26" s="289"/>
      <c r="U26" s="290"/>
    </row>
    <row r="27" spans="1:21" ht="12.75" customHeight="1">
      <c r="A27" s="31"/>
      <c r="B27" s="118"/>
      <c r="C27" s="275"/>
      <c r="D27" s="276"/>
      <c r="E27" s="276"/>
      <c r="F27" s="276"/>
      <c r="G27" s="284"/>
      <c r="H27" s="292"/>
      <c r="I27" s="291"/>
      <c r="J27" s="297"/>
      <c r="K27" s="297"/>
      <c r="L27" s="291"/>
      <c r="M27" s="291"/>
      <c r="N27" s="120" t="s">
        <v>30</v>
      </c>
      <c r="O27" s="121" t="s">
        <v>58</v>
      </c>
      <c r="P27" s="121" t="s">
        <v>31</v>
      </c>
      <c r="Q27" s="122" t="s">
        <v>32</v>
      </c>
      <c r="R27" s="120" t="s">
        <v>30</v>
      </c>
      <c r="S27" s="121" t="s">
        <v>58</v>
      </c>
      <c r="T27" s="121" t="s">
        <v>31</v>
      </c>
      <c r="U27" s="122" t="s">
        <v>32</v>
      </c>
    </row>
    <row r="28" spans="1:21" ht="75" customHeight="1">
      <c r="A28" s="31"/>
      <c r="B28" s="118"/>
      <c r="C28" s="298" t="str">
        <f>G13</f>
        <v>L609 (no. 3 - 5)</v>
      </c>
      <c r="D28" s="299"/>
      <c r="E28" s="299"/>
      <c r="F28" s="299"/>
      <c r="G28" s="300"/>
      <c r="H28" s="282"/>
      <c r="I28" s="282"/>
      <c r="J28" s="123"/>
      <c r="K28" s="124"/>
      <c r="L28" s="123"/>
      <c r="M28" s="124"/>
      <c r="N28" s="125"/>
      <c r="O28" s="126"/>
      <c r="P28" s="127"/>
      <c r="Q28" s="128"/>
      <c r="R28" s="125"/>
      <c r="S28" s="126"/>
      <c r="T28" s="127"/>
      <c r="U28" s="128"/>
    </row>
    <row r="29" spans="1:21" ht="75" customHeight="1">
      <c r="A29" s="31"/>
      <c r="B29" s="31"/>
      <c r="C29" s="298" t="str">
        <f>G14</f>
        <v>L610 (no. 3 - 5)</v>
      </c>
      <c r="D29" s="299"/>
      <c r="E29" s="299"/>
      <c r="F29" s="299"/>
      <c r="G29" s="300"/>
      <c r="H29" s="129"/>
      <c r="I29" s="124"/>
      <c r="J29" s="293"/>
      <c r="K29" s="294"/>
      <c r="L29" s="123"/>
      <c r="M29" s="124"/>
      <c r="N29" s="130"/>
      <c r="O29" s="126"/>
      <c r="P29" s="131"/>
      <c r="Q29" s="128"/>
      <c r="R29" s="130"/>
      <c r="S29" s="126"/>
      <c r="T29" s="131"/>
      <c r="U29" s="128"/>
    </row>
    <row r="30" spans="1:21" ht="75" customHeight="1" thickBot="1">
      <c r="A30" s="31"/>
      <c r="B30" s="30"/>
      <c r="C30" s="298" t="str">
        <f>G15</f>
        <v>Stockholm Spikers</v>
      </c>
      <c r="D30" s="299"/>
      <c r="E30" s="299"/>
      <c r="F30" s="299"/>
      <c r="G30" s="300"/>
      <c r="H30" s="129"/>
      <c r="I30" s="124"/>
      <c r="J30" s="123"/>
      <c r="K30" s="124"/>
      <c r="L30" s="295"/>
      <c r="M30" s="296"/>
      <c r="N30" s="132"/>
      <c r="O30" s="133"/>
      <c r="P30" s="134"/>
      <c r="Q30" s="135"/>
      <c r="R30" s="132"/>
      <c r="S30" s="133"/>
      <c r="T30" s="134"/>
      <c r="U30" s="135"/>
    </row>
    <row r="31" spans="1:2" ht="12.75">
      <c r="A31" s="31"/>
      <c r="B31" s="31"/>
    </row>
    <row r="32" spans="1:2" ht="12.75" customHeight="1">
      <c r="A32" s="31"/>
      <c r="B32" s="118"/>
    </row>
    <row r="33" spans="1:2" ht="12.75" customHeight="1">
      <c r="A33" s="31"/>
      <c r="B33" s="118"/>
    </row>
    <row r="34" spans="1:2" ht="12.75">
      <c r="A34" s="31"/>
      <c r="B34" s="119"/>
    </row>
    <row r="35" spans="1:2" ht="12.75">
      <c r="A35" s="31"/>
      <c r="B35" s="118"/>
    </row>
    <row r="36" spans="1:2" ht="12.75">
      <c r="A36" s="31"/>
      <c r="B36" s="118"/>
    </row>
    <row r="37" spans="1:2" ht="75" customHeight="1">
      <c r="A37" s="31"/>
      <c r="B37" s="118"/>
    </row>
    <row r="38" spans="1:2" ht="75" customHeight="1">
      <c r="A38" s="31"/>
      <c r="B38" s="31"/>
    </row>
    <row r="39" spans="1:2" ht="75" customHeight="1">
      <c r="A39" s="31"/>
      <c r="B39" s="30"/>
    </row>
    <row r="40" spans="1:2" ht="75" customHeight="1">
      <c r="A40" s="31"/>
      <c r="B40" s="30"/>
    </row>
    <row r="41" spans="1:2" ht="75" customHeight="1">
      <c r="A41" s="31"/>
      <c r="B41" s="30"/>
    </row>
    <row r="42" spans="1:2" ht="75" customHeight="1">
      <c r="A42" s="31"/>
      <c r="B42" s="30"/>
    </row>
  </sheetData>
  <mergeCells count="17">
    <mergeCell ref="C29:G29"/>
    <mergeCell ref="C30:G30"/>
    <mergeCell ref="C26:F27"/>
    <mergeCell ref="C28:G28"/>
    <mergeCell ref="J29:K29"/>
    <mergeCell ref="L30:M30"/>
    <mergeCell ref="J19:K27"/>
    <mergeCell ref="L19:M27"/>
    <mergeCell ref="R26:U26"/>
    <mergeCell ref="C4:F6"/>
    <mergeCell ref="C7:F8"/>
    <mergeCell ref="H19:I27"/>
    <mergeCell ref="C11:F12"/>
    <mergeCell ref="H28:I28"/>
    <mergeCell ref="G26:G27"/>
    <mergeCell ref="C19:F23"/>
    <mergeCell ref="N26:Q26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portrait" pageOrder="overThenDown" paperSize="9" scale="77" r:id="rId1"/>
  <headerFooter alignWithMargins="0">
    <oddHeader>&amp;L&amp;A&amp;RSaturday, June 18 2005</oddHeader>
    <oddFooter>&amp;L&amp;F&amp;R&amp;P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47"/>
  <sheetViews>
    <sheetView zoomScale="75" zoomScaleNormal="75" workbookViewId="0" topLeftCell="A1">
      <selection activeCell="H18" sqref="H18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B+</v>
      </c>
      <c r="D4" s="261"/>
      <c r="E4" s="261"/>
      <c r="F4" s="262"/>
      <c r="G4" s="5"/>
      <c r="H4" s="17" t="str">
        <f>$A$8&amp;":"</f>
        <v>Venue:</v>
      </c>
      <c r="I4" s="6" t="str">
        <f>$B$8</f>
        <v>Olympos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81</v>
      </c>
      <c r="C5" s="263"/>
      <c r="D5" s="264"/>
      <c r="E5" s="264"/>
      <c r="F5" s="265"/>
      <c r="G5" s="10"/>
      <c r="H5" s="19" t="str">
        <f>$A$9&amp;":"</f>
        <v>Court:</v>
      </c>
      <c r="I5" s="20">
        <f>$B$9</f>
        <v>10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82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0.5694444444444444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">
        <v>84</v>
      </c>
      <c r="D7" s="267"/>
      <c r="E7" s="267"/>
      <c r="F7" s="268"/>
      <c r="G7" s="140"/>
      <c r="H7" s="25" t="str">
        <f>"Each match (except finals) consists of 2 sets of at most "&amp;$B$13&amp;" points."</f>
        <v>Each match (except finals)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15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10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0.5694444444444444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8</v>
      </c>
      <c r="C11" s="272" t="str">
        <f>$A$6&amp;" "&amp;$B$6</f>
        <v>Group PA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145</v>
      </c>
      <c r="H13" s="5" t="s">
        <v>129</v>
      </c>
      <c r="I13" s="6" t="s">
        <v>130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146</v>
      </c>
      <c r="H14" s="10" t="s">
        <v>147</v>
      </c>
      <c r="I14" s="11" t="s">
        <v>148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149</v>
      </c>
      <c r="H15" s="10" t="s">
        <v>150</v>
      </c>
      <c r="I15" s="11" t="s">
        <v>151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3:21" ht="12.75">
      <c r="C16" s="57"/>
      <c r="D16" s="58"/>
      <c r="E16" s="14"/>
      <c r="F16" s="39"/>
      <c r="G16" s="57" t="s">
        <v>152</v>
      </c>
      <c r="H16" s="14" t="s">
        <v>153</v>
      </c>
      <c r="I16" s="15" t="s">
        <v>120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3:39" s="65" customFormat="1" ht="12.75">
      <c r="C17" s="19"/>
      <c r="D17" s="66"/>
      <c r="E17" s="66"/>
      <c r="F17" s="67"/>
      <c r="G17" s="68"/>
      <c r="H17" s="66"/>
      <c r="I17" s="66"/>
      <c r="J17" s="69"/>
      <c r="K17" s="69"/>
      <c r="L17" s="69"/>
      <c r="M17" s="69"/>
      <c r="N17" s="69"/>
      <c r="O17" s="69"/>
      <c r="P17" s="69"/>
      <c r="Q17" s="19"/>
      <c r="AA17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3:39" s="65" customFormat="1" ht="12.75">
      <c r="C18" s="19"/>
      <c r="D18" s="66"/>
      <c r="E18" s="66"/>
      <c r="F18" s="67"/>
      <c r="G18" s="68"/>
      <c r="H18" s="66"/>
      <c r="I18" s="66"/>
      <c r="J18" s="69"/>
      <c r="K18" s="69"/>
      <c r="L18" s="69"/>
      <c r="M18" s="69"/>
      <c r="N18" s="69"/>
      <c r="O18" s="69"/>
      <c r="P18" s="69"/>
      <c r="Q18" s="1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3:35" ht="12.75">
      <c r="C19" s="32"/>
      <c r="D19" s="5"/>
      <c r="E19" s="5"/>
      <c r="F19" s="5"/>
      <c r="G19" s="5"/>
      <c r="H19" s="5"/>
      <c r="I19" s="6"/>
      <c r="J19" s="249" t="s">
        <v>39</v>
      </c>
      <c r="K19" s="250"/>
      <c r="L19" s="249" t="s">
        <v>40</v>
      </c>
      <c r="M19" s="250"/>
      <c r="N19" s="249" t="s">
        <v>78</v>
      </c>
      <c r="O19" s="250"/>
      <c r="P19" s="249" t="s">
        <v>31</v>
      </c>
      <c r="Q19" s="250"/>
      <c r="R19" s="32"/>
      <c r="S19" s="6"/>
      <c r="T19" s="249" t="s">
        <v>39</v>
      </c>
      <c r="U19" s="250"/>
      <c r="V19" s="249" t="s">
        <v>40</v>
      </c>
      <c r="W19" s="250"/>
      <c r="X19" s="249" t="s">
        <v>24</v>
      </c>
      <c r="Y19" s="250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3:25" ht="12.75">
      <c r="C20" s="73" t="s">
        <v>18</v>
      </c>
      <c r="D20" s="74" t="s">
        <v>43</v>
      </c>
      <c r="E20" s="74" t="s">
        <v>17</v>
      </c>
      <c r="F20" s="75" t="s">
        <v>44</v>
      </c>
      <c r="G20" s="76" t="s">
        <v>45</v>
      </c>
      <c r="H20" s="77" t="s">
        <v>46</v>
      </c>
      <c r="I20" s="78" t="s">
        <v>47</v>
      </c>
      <c r="J20" s="79" t="s">
        <v>48</v>
      </c>
      <c r="K20" s="80" t="s">
        <v>49</v>
      </c>
      <c r="L20" s="79" t="s">
        <v>48</v>
      </c>
      <c r="M20" s="80" t="s">
        <v>49</v>
      </c>
      <c r="N20" s="79" t="s">
        <v>48</v>
      </c>
      <c r="O20" s="80" t="s">
        <v>49</v>
      </c>
      <c r="P20" s="81" t="s">
        <v>48</v>
      </c>
      <c r="Q20" s="82" t="s">
        <v>49</v>
      </c>
      <c r="R20" s="57" t="s">
        <v>79</v>
      </c>
      <c r="S20" s="15" t="s">
        <v>80</v>
      </c>
      <c r="T20" s="79" t="s">
        <v>48</v>
      </c>
      <c r="U20" s="80" t="s">
        <v>49</v>
      </c>
      <c r="V20" s="79" t="s">
        <v>48</v>
      </c>
      <c r="W20" s="80" t="s">
        <v>49</v>
      </c>
      <c r="X20" s="79" t="s">
        <v>48</v>
      </c>
      <c r="Y20" s="80" t="s">
        <v>49</v>
      </c>
    </row>
    <row r="21" spans="3:25" ht="12.75">
      <c r="C21" s="71"/>
      <c r="D21" s="25"/>
      <c r="E21" s="25"/>
      <c r="F21" s="25"/>
      <c r="G21" s="5"/>
      <c r="H21" s="5"/>
      <c r="I21" s="6"/>
      <c r="J21" s="71"/>
      <c r="K21" s="72"/>
      <c r="L21" s="71"/>
      <c r="M21" s="72"/>
      <c r="N21" s="83"/>
      <c r="O21" s="17"/>
      <c r="P21" s="71"/>
      <c r="Q21" s="72"/>
      <c r="R21" s="32"/>
      <c r="S21" s="6"/>
      <c r="T21" s="32"/>
      <c r="U21" s="6"/>
      <c r="V21" s="32"/>
      <c r="W21" s="6"/>
      <c r="X21" s="40"/>
      <c r="Y21" s="11"/>
    </row>
    <row r="22" spans="3:25" ht="12.75">
      <c r="C22" s="84">
        <f>$B$10+(D22-$B$11)*($B$12/60/24+TIME(0,5,0))</f>
        <v>0.5694444444444444</v>
      </c>
      <c r="D22" s="85">
        <f>$B$11</f>
        <v>8</v>
      </c>
      <c r="E22" s="85">
        <f>$B$9</f>
        <v>10</v>
      </c>
      <c r="F22" s="85">
        <f>$E22+$D22*100</f>
        <v>810</v>
      </c>
      <c r="G22" s="86" t="str">
        <f>G13</f>
        <v>Pratety Praha B+</v>
      </c>
      <c r="H22" s="86" t="str">
        <f>G16</f>
        <v>Poison Guys</v>
      </c>
      <c r="I22" s="87" t="str">
        <f>G15</f>
        <v>Roman Volley White</v>
      </c>
      <c r="J22" s="88"/>
      <c r="K22" s="87"/>
      <c r="L22" s="88"/>
      <c r="M22" s="87"/>
      <c r="N22" s="188">
        <f>SUM(J22,L22)</f>
        <v>0</v>
      </c>
      <c r="O22" s="189">
        <f>SUM(K22,M22)</f>
        <v>0</v>
      </c>
      <c r="P22" s="190">
        <f>SUM(T22,V22)</f>
        <v>2</v>
      </c>
      <c r="Q22" s="191">
        <f>SUM(U22,W22)</f>
        <v>2</v>
      </c>
      <c r="R22" s="40" t="str">
        <f>IF(P22&gt;Q22,G22,IF(P22&lt;Q22,H22,IF(N22&gt;O22,G22,IF(N22&lt;O22,H22,IF(X22&gt;Y22,G22,IF(X22&lt;Y22,H22,"W"&amp;F22&amp;" (no. 1 - 2)"))))))</f>
        <v>W810 (no. 1 - 2)</v>
      </c>
      <c r="S22" s="11" t="str">
        <f>IF(P22&gt;Q22,H22,IF(P22&lt;Q22,G22,IF(N22&gt;O22,H22,IF(N22&lt;O22,G22,IF(X22&gt;Y22,H22,IF(X22&lt;Y22,G22,"L"&amp;F22&amp;" (no. 3 - 4)"))))))</f>
        <v>L810 (no. 3 - 4)</v>
      </c>
      <c r="T22" s="51">
        <f>IF(J22&gt;K22,2,IF(J22=K22,1,0))</f>
        <v>1</v>
      </c>
      <c r="U22" s="53">
        <f>IF(K22&gt;J22,2,IF(K22=J22,1,0))</f>
        <v>1</v>
      </c>
      <c r="V22" s="51">
        <f>IF(L22&gt;M22,2,IF(L22=M22,1,0))</f>
        <v>1</v>
      </c>
      <c r="W22" s="53">
        <f>IF(M22&gt;L22,2,IF(M22=L22,1,0))</f>
        <v>1</v>
      </c>
      <c r="X22" s="40"/>
      <c r="Y22" s="11"/>
    </row>
    <row r="23" spans="2:25" ht="12.75">
      <c r="B23" s="31"/>
      <c r="C23" s="84"/>
      <c r="D23" s="85"/>
      <c r="E23" s="85"/>
      <c r="F23" s="85"/>
      <c r="G23" s="30"/>
      <c r="H23" s="30"/>
      <c r="I23" s="87"/>
      <c r="J23" s="92"/>
      <c r="K23" s="93"/>
      <c r="L23" s="92"/>
      <c r="M23" s="93"/>
      <c r="N23" s="188"/>
      <c r="O23" s="189"/>
      <c r="P23" s="190"/>
      <c r="Q23" s="191"/>
      <c r="R23" s="40"/>
      <c r="S23" s="11"/>
      <c r="T23" s="51"/>
      <c r="U23" s="53"/>
      <c r="V23" s="51"/>
      <c r="W23" s="53"/>
      <c r="X23" s="40"/>
      <c r="Y23" s="11"/>
    </row>
    <row r="24" spans="2:25" ht="12.75">
      <c r="B24" s="31"/>
      <c r="C24" s="84">
        <f>$B$10+(D24-$B$11)*($B$12/60/24+TIME(0,5,0))</f>
        <v>0.5972222222222222</v>
      </c>
      <c r="D24" s="145">
        <f>$B$11+1</f>
        <v>9</v>
      </c>
      <c r="E24" s="85">
        <f>$B$9</f>
        <v>10</v>
      </c>
      <c r="F24" s="85">
        <f>$E24+$D24*100</f>
        <v>910</v>
      </c>
      <c r="G24" s="30" t="str">
        <f>G15</f>
        <v>Roman Volley White</v>
      </c>
      <c r="H24" s="30" t="str">
        <f>G14</f>
        <v>Copacabana</v>
      </c>
      <c r="I24" s="87" t="str">
        <f>G13</f>
        <v>Pratety Praha B+</v>
      </c>
      <c r="J24" s="92"/>
      <c r="K24" s="93"/>
      <c r="L24" s="92"/>
      <c r="M24" s="93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1 - 2)"))))))</f>
        <v>W910 (no. 1 - 2)</v>
      </c>
      <c r="S24" s="11" t="str">
        <f>IF(P24&gt;Q24,H24,IF(P24&lt;Q24,G24,IF(N24&gt;O24,H24,IF(N24&lt;O24,G24,IF(X24&gt;Y24,H24,IF(X24&lt;Y24,G24,"L"&amp;F24&amp;" (no. 3 - 4)"))))))</f>
        <v>L910 (no. 3 - 4)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2:25" ht="12.75">
      <c r="B25" s="31"/>
      <c r="C25" s="84"/>
      <c r="D25" s="145"/>
      <c r="E25" s="85"/>
      <c r="F25" s="85"/>
      <c r="G25" s="30"/>
      <c r="H25" s="30"/>
      <c r="I25" s="87"/>
      <c r="J25" s="92"/>
      <c r="K25" s="93"/>
      <c r="L25" s="92"/>
      <c r="M25" s="93"/>
      <c r="N25" s="89"/>
      <c r="O25" s="90"/>
      <c r="P25" s="99"/>
      <c r="Q25" s="100"/>
      <c r="R25" s="40"/>
      <c r="S25" s="11"/>
      <c r="T25" s="51"/>
      <c r="U25" s="53"/>
      <c r="V25" s="51"/>
      <c r="W25" s="53"/>
      <c r="X25" s="40"/>
      <c r="Y25" s="11"/>
    </row>
    <row r="26" spans="2:25" ht="12.75">
      <c r="B26" s="31"/>
      <c r="C26" s="84">
        <f>$B$10+(D26-$B$11)*($B$12/60/24+TIME(0,5,0))</f>
        <v>0.625</v>
      </c>
      <c r="D26" s="145">
        <f>$B$11+2</f>
        <v>10</v>
      </c>
      <c r="E26" s="102"/>
      <c r="F26" s="258" t="s">
        <v>97</v>
      </c>
      <c r="G26" s="258"/>
      <c r="H26" s="258"/>
      <c r="I26" s="259"/>
      <c r="J26" s="92"/>
      <c r="K26" s="93"/>
      <c r="L26" s="92"/>
      <c r="M26" s="93"/>
      <c r="N26" s="89"/>
      <c r="O26" s="90"/>
      <c r="P26" s="99"/>
      <c r="Q26" s="100"/>
      <c r="R26" s="40"/>
      <c r="S26" s="11"/>
      <c r="T26" s="51"/>
      <c r="U26" s="53"/>
      <c r="V26" s="51"/>
      <c r="W26" s="53"/>
      <c r="X26" s="40"/>
      <c r="Y26" s="11"/>
    </row>
    <row r="27" spans="2:25" ht="12.75">
      <c r="B27" s="31"/>
      <c r="C27" s="84"/>
      <c r="D27" s="85"/>
      <c r="E27" s="85"/>
      <c r="F27" s="85"/>
      <c r="G27" s="30"/>
      <c r="H27" s="30"/>
      <c r="I27" s="87"/>
      <c r="J27" s="92"/>
      <c r="K27" s="93"/>
      <c r="L27" s="92"/>
      <c r="M27" s="93"/>
      <c r="N27" s="89"/>
      <c r="O27" s="90"/>
      <c r="P27" s="99"/>
      <c r="Q27" s="100"/>
      <c r="R27" s="57"/>
      <c r="S27" s="15"/>
      <c r="T27" s="99"/>
      <c r="U27" s="100"/>
      <c r="V27" s="99"/>
      <c r="W27" s="100"/>
      <c r="X27" s="57"/>
      <c r="Y27" s="15"/>
    </row>
    <row r="28" spans="3:39" ht="12.75">
      <c r="C28" s="32"/>
      <c r="D28" s="5"/>
      <c r="E28" s="5"/>
      <c r="F28" s="5"/>
      <c r="G28" s="5"/>
      <c r="H28" s="5"/>
      <c r="I28" s="6"/>
      <c r="J28" s="249" t="s">
        <v>39</v>
      </c>
      <c r="K28" s="250"/>
      <c r="L28" s="249" t="s">
        <v>40</v>
      </c>
      <c r="M28" s="250"/>
      <c r="N28" s="249" t="s">
        <v>41</v>
      </c>
      <c r="O28" s="250"/>
      <c r="P28" s="249" t="s">
        <v>31</v>
      </c>
      <c r="Q28" s="250"/>
      <c r="R28" s="32"/>
      <c r="S28" s="6"/>
      <c r="T28" s="249" t="s">
        <v>39</v>
      </c>
      <c r="U28" s="250"/>
      <c r="V28" s="249" t="s">
        <v>40</v>
      </c>
      <c r="W28" s="250"/>
      <c r="X28" s="249" t="s">
        <v>41</v>
      </c>
      <c r="Y28" s="250"/>
      <c r="Z28" s="249" t="s">
        <v>42</v>
      </c>
      <c r="AA28" s="250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2:27" ht="12.75">
      <c r="B29" s="31"/>
      <c r="C29" s="73" t="s">
        <v>18</v>
      </c>
      <c r="D29" s="74" t="s">
        <v>43</v>
      </c>
      <c r="E29" s="74" t="s">
        <v>17</v>
      </c>
      <c r="F29" s="75" t="s">
        <v>44</v>
      </c>
      <c r="G29" s="76" t="s">
        <v>45</v>
      </c>
      <c r="H29" s="77" t="s">
        <v>46</v>
      </c>
      <c r="I29" s="78" t="s">
        <v>47</v>
      </c>
      <c r="J29" s="79" t="s">
        <v>48</v>
      </c>
      <c r="K29" s="80" t="s">
        <v>49</v>
      </c>
      <c r="L29" s="79" t="s">
        <v>48</v>
      </c>
      <c r="M29" s="80" t="s">
        <v>49</v>
      </c>
      <c r="N29" s="79" t="s">
        <v>48</v>
      </c>
      <c r="O29" s="80" t="s">
        <v>49</v>
      </c>
      <c r="P29" s="79" t="s">
        <v>48</v>
      </c>
      <c r="Q29" s="80" t="s">
        <v>49</v>
      </c>
      <c r="R29" s="57" t="s">
        <v>79</v>
      </c>
      <c r="S29" s="15" t="s">
        <v>80</v>
      </c>
      <c r="T29" s="79" t="s">
        <v>48</v>
      </c>
      <c r="U29" s="80" t="s">
        <v>49</v>
      </c>
      <c r="V29" s="79" t="s">
        <v>48</v>
      </c>
      <c r="W29" s="80" t="s">
        <v>49</v>
      </c>
      <c r="X29" s="79" t="s">
        <v>48</v>
      </c>
      <c r="Y29" s="80" t="s">
        <v>49</v>
      </c>
      <c r="Z29" s="79" t="s">
        <v>48</v>
      </c>
      <c r="AA29" s="80" t="s">
        <v>49</v>
      </c>
    </row>
    <row r="30" spans="1:27" ht="12.75">
      <c r="A30" s="18" t="s">
        <v>70</v>
      </c>
      <c r="B30" s="18" t="s">
        <v>71</v>
      </c>
      <c r="C30" s="84"/>
      <c r="D30" s="85"/>
      <c r="E30" s="85"/>
      <c r="F30" s="85"/>
      <c r="G30" s="30"/>
      <c r="H30" s="30"/>
      <c r="I30" s="87"/>
      <c r="J30" s="92"/>
      <c r="K30" s="93"/>
      <c r="L30" s="92"/>
      <c r="M30" s="93"/>
      <c r="N30" s="89"/>
      <c r="O30" s="90"/>
      <c r="P30" s="99"/>
      <c r="Q30" s="100"/>
      <c r="R30" s="40"/>
      <c r="S30" s="11"/>
      <c r="T30" s="99"/>
      <c r="U30" s="100"/>
      <c r="V30" s="99"/>
      <c r="W30" s="100"/>
      <c r="X30" s="99"/>
      <c r="Y30" s="100"/>
      <c r="Z30" s="92"/>
      <c r="AA30" s="93"/>
    </row>
    <row r="31" spans="1:27" ht="12.75">
      <c r="A31" s="147">
        <v>0.6458333333333334</v>
      </c>
      <c r="B31" s="143">
        <v>3</v>
      </c>
      <c r="C31" s="153">
        <f>$A$31</f>
        <v>0.6458333333333334</v>
      </c>
      <c r="D31" s="145">
        <f>$B$11+3</f>
        <v>11</v>
      </c>
      <c r="E31" s="152">
        <f>$B$31</f>
        <v>3</v>
      </c>
      <c r="F31" s="145">
        <f>$E31+$D31*100</f>
        <v>1103</v>
      </c>
      <c r="G31" s="148" t="str">
        <f>S24</f>
        <v>L910 (no. 3 - 4)</v>
      </c>
      <c r="H31" s="148" t="str">
        <f>S22</f>
        <v>L810 (no. 3 - 4)</v>
      </c>
      <c r="I31" s="149" t="str">
        <f>"Official / "&amp;R22</f>
        <v>Official / W810 (no. 1 - 2)</v>
      </c>
      <c r="J31" s="88"/>
      <c r="K31" s="87"/>
      <c r="L31" s="88"/>
      <c r="M31" s="87"/>
      <c r="N31" s="89">
        <f>IF(OR(T31+V31=2,U31+W31=2),"---","")</f>
      </c>
      <c r="O31" s="90">
        <f>IF(OR(T31+V31=2,U31+W31=2),"---","")</f>
      </c>
      <c r="P31" s="199">
        <f>IF(AND(Z31=2,AA31=0),3,Z31)</f>
        <v>0</v>
      </c>
      <c r="Q31" s="200">
        <f>IF(AND(AA31=2,Z31=0),3,AA31)</f>
        <v>0</v>
      </c>
      <c r="R31" s="40" t="str">
        <f>IF(P31&gt;Q31,G31,IF(P31&lt;Q31,H31,"W"&amp;F31&amp;" (no. 3)"))</f>
        <v>W1103 (no. 3)</v>
      </c>
      <c r="S31" s="11" t="str">
        <f>IF(P31&gt;Q31,H31,IF(P31&lt;Q31,G31,"L"&amp;F31&amp;" (no. 4)"))</f>
        <v>L1103 (no. 4)</v>
      </c>
      <c r="T31" s="51">
        <f>IF(J31&gt;K31,1,0)</f>
        <v>0</v>
      </c>
      <c r="U31" s="53">
        <f>IF(K31&gt;J31,1,0)</f>
        <v>0</v>
      </c>
      <c r="V31" s="51">
        <f>IF(L31&gt;M31,1,0)</f>
        <v>0</v>
      </c>
      <c r="W31" s="53">
        <f>IF(M31&gt;L31,1,0)</f>
        <v>0</v>
      </c>
      <c r="X31" s="51">
        <f>IF(N31&gt;O31,1,0)</f>
        <v>0</v>
      </c>
      <c r="Y31" s="53">
        <f>IF(O31&gt;N31,1,0)</f>
        <v>0</v>
      </c>
      <c r="Z31" s="54">
        <f>SUM(T31,V31,X31)</f>
        <v>0</v>
      </c>
      <c r="AA31" s="91">
        <f>SUM(U31,W31,Y31)</f>
        <v>0</v>
      </c>
    </row>
    <row r="32" spans="1:27" ht="24.75" customHeight="1">
      <c r="A32" s="147"/>
      <c r="B32" s="143"/>
      <c r="C32" s="153"/>
      <c r="D32" s="145"/>
      <c r="E32" s="233"/>
      <c r="F32" s="234"/>
      <c r="G32" s="237"/>
      <c r="H32" s="237"/>
      <c r="I32" s="149"/>
      <c r="J32" s="88"/>
      <c r="K32" s="87"/>
      <c r="L32" s="88"/>
      <c r="M32" s="87"/>
      <c r="N32" s="89"/>
      <c r="O32" s="90"/>
      <c r="P32" s="199"/>
      <c r="Q32" s="200"/>
      <c r="R32" s="40"/>
      <c r="S32" s="11"/>
      <c r="T32" s="51"/>
      <c r="U32" s="53"/>
      <c r="V32" s="51"/>
      <c r="W32" s="53"/>
      <c r="X32" s="51"/>
      <c r="Y32" s="53"/>
      <c r="Z32" s="54"/>
      <c r="AA32" s="91"/>
    </row>
    <row r="33" spans="1:27" ht="12.75">
      <c r="A33" s="143"/>
      <c r="B33" s="142"/>
      <c r="C33" s="84"/>
      <c r="D33" s="145"/>
      <c r="E33" s="152"/>
      <c r="F33" s="145"/>
      <c r="G33" s="150"/>
      <c r="H33" s="150"/>
      <c r="I33" s="151"/>
      <c r="J33" s="40"/>
      <c r="K33" s="11"/>
      <c r="L33" s="40"/>
      <c r="M33" s="11"/>
      <c r="N33" s="89">
        <f>IF(OR(T33+V33=2,U33+W33=2),"---","")</f>
      </c>
      <c r="O33" s="90">
        <f>IF(OR(T33+V33=2,U33+W33=2),"---","")</f>
      </c>
      <c r="P33" s="199"/>
      <c r="Q33" s="200"/>
      <c r="R33" s="40"/>
      <c r="S33" s="11"/>
      <c r="T33" s="51"/>
      <c r="U33" s="53"/>
      <c r="V33" s="51"/>
      <c r="W33" s="53"/>
      <c r="X33" s="51"/>
      <c r="Y33" s="53"/>
      <c r="Z33" s="54"/>
      <c r="AA33" s="91"/>
    </row>
    <row r="34" spans="1:27" ht="12.75">
      <c r="A34" s="143"/>
      <c r="B34" s="142"/>
      <c r="C34" s="84">
        <f>C31+75/60/24</f>
        <v>0.6979166666666667</v>
      </c>
      <c r="D34" s="145">
        <f>$B$11+5</f>
        <v>13</v>
      </c>
      <c r="E34" s="152">
        <f>$B$31</f>
        <v>3</v>
      </c>
      <c r="F34" s="145">
        <f>$E34+$D34*100</f>
        <v>1303</v>
      </c>
      <c r="G34" s="144" t="str">
        <f>R22</f>
        <v>W810 (no. 1 - 2)</v>
      </c>
      <c r="H34" s="144" t="str">
        <f>R24</f>
        <v>W910 (no. 1 - 2)</v>
      </c>
      <c r="I34" s="151" t="str">
        <f>"Official / "&amp;S24</f>
        <v>Official / L910 (no. 3 - 4)</v>
      </c>
      <c r="J34" s="96"/>
      <c r="K34" s="94"/>
      <c r="L34" s="96"/>
      <c r="M34" s="94"/>
      <c r="N34" s="89">
        <f>IF(OR(T34+V34=2,U34+W34=2),"---","")</f>
      </c>
      <c r="O34" s="90">
        <f>IF(OR(T34+V34=2,U34+W34=2),"---","")</f>
      </c>
      <c r="P34" s="199">
        <f>IF(AND(Z34=2,AA34=0),3,Z34)</f>
        <v>0</v>
      </c>
      <c r="Q34" s="200">
        <f>IF(AND(AA34=2,Z34=0),3,AA34)</f>
        <v>0</v>
      </c>
      <c r="R34" s="40" t="str">
        <f>IF(P34&gt;Q34,G34,IF(P34&lt;Q34,H34,"W"&amp;F34&amp;" (no. 1)"))</f>
        <v>W1303 (no. 1)</v>
      </c>
      <c r="S34" s="11" t="str">
        <f>IF(P34&gt;Q34,H34,IF(P34&lt;Q34,G34,"L"&amp;F34&amp;" (no. 2)"))</f>
        <v>L1303 (no. 2)</v>
      </c>
      <c r="T34" s="51">
        <f>IF(J34&gt;K34,1,0)</f>
        <v>0</v>
      </c>
      <c r="U34" s="53">
        <f>IF(K34&gt;J34,1,0)</f>
        <v>0</v>
      </c>
      <c r="V34" s="51">
        <f>IF(L34&gt;M34,1,0)</f>
        <v>0</v>
      </c>
      <c r="W34" s="53">
        <f>IF(M34&gt;L34,1,0)</f>
        <v>0</v>
      </c>
      <c r="X34" s="51">
        <f>IF(N34&gt;O34,1,0)</f>
        <v>0</v>
      </c>
      <c r="Y34" s="53">
        <f>IF(O34&gt;N34,1,0)</f>
        <v>0</v>
      </c>
      <c r="Z34" s="54">
        <f>SUM(T34,V34,X34)</f>
        <v>0</v>
      </c>
      <c r="AA34" s="91">
        <f>SUM(U34,W34,Y34)</f>
        <v>0</v>
      </c>
    </row>
    <row r="35" spans="1:27" ht="24.75" customHeight="1">
      <c r="A35" s="143"/>
      <c r="B35" s="142"/>
      <c r="C35" s="84"/>
      <c r="D35" s="145"/>
      <c r="E35" s="233"/>
      <c r="F35" s="234"/>
      <c r="G35" s="235"/>
      <c r="H35" s="235"/>
      <c r="I35" s="151"/>
      <c r="J35" s="96"/>
      <c r="K35" s="94"/>
      <c r="L35" s="96"/>
      <c r="M35" s="94"/>
      <c r="N35" s="89"/>
      <c r="O35" s="90"/>
      <c r="P35" s="199"/>
      <c r="Q35" s="200"/>
      <c r="R35" s="40"/>
      <c r="S35" s="11"/>
      <c r="T35" s="51"/>
      <c r="U35" s="53"/>
      <c r="V35" s="51"/>
      <c r="W35" s="53"/>
      <c r="X35" s="51"/>
      <c r="Y35" s="53"/>
      <c r="Z35" s="54"/>
      <c r="AA35" s="91"/>
    </row>
    <row r="36" spans="2:27" ht="12.75">
      <c r="B36" s="31"/>
      <c r="C36" s="84"/>
      <c r="D36" s="85"/>
      <c r="E36" s="85"/>
      <c r="F36" s="85"/>
      <c r="G36" s="95"/>
      <c r="H36" s="95"/>
      <c r="I36" s="94"/>
      <c r="J36" s="97"/>
      <c r="K36" s="98"/>
      <c r="L36" s="97"/>
      <c r="M36" s="98"/>
      <c r="N36" s="89">
        <f>IF(OR(T36+V36=2,U36+W36=2),"---","")</f>
      </c>
      <c r="O36" s="90">
        <f>IF(OR(T36+V36=2,U36+W36=2),"---","")</f>
      </c>
      <c r="P36" s="99"/>
      <c r="Q36" s="100"/>
      <c r="R36" s="40"/>
      <c r="S36" s="11"/>
      <c r="T36" s="101"/>
      <c r="U36" s="11"/>
      <c r="V36" s="40"/>
      <c r="W36" s="11"/>
      <c r="X36" s="40"/>
      <c r="Y36" s="11"/>
      <c r="Z36" s="40"/>
      <c r="AA36" s="11"/>
    </row>
    <row r="37" spans="2:27" ht="12.75" customHeight="1">
      <c r="B37" s="70"/>
      <c r="C37" s="84">
        <f>C34+75/60/24</f>
        <v>0.7500000000000001</v>
      </c>
      <c r="D37" s="85"/>
      <c r="E37" s="102"/>
      <c r="G37" s="251" t="str">
        <f>"Price ceremony on court 2."</f>
        <v>Price ceremony on court 2.</v>
      </c>
      <c r="H37" s="251"/>
      <c r="I37" s="103"/>
      <c r="J37" s="97"/>
      <c r="K37" s="98"/>
      <c r="L37" s="97"/>
      <c r="M37" s="98"/>
      <c r="N37" s="89">
        <f>IF(OR(T37+V37=2,U37+W37=2),"---","")</f>
      </c>
      <c r="O37" s="90">
        <f>IF(OR(T37+V37=2,U37+W37=2),"---","")</f>
      </c>
      <c r="P37" s="99"/>
      <c r="Q37" s="100"/>
      <c r="R37" s="40"/>
      <c r="S37" s="11"/>
      <c r="T37" s="40"/>
      <c r="U37" s="11"/>
      <c r="V37" s="40"/>
      <c r="W37" s="11"/>
      <c r="X37" s="40"/>
      <c r="Y37" s="11"/>
      <c r="Z37" s="40"/>
      <c r="AA37" s="11"/>
    </row>
    <row r="38" spans="2:27" ht="12.75">
      <c r="B38" s="31"/>
      <c r="C38" s="73"/>
      <c r="D38" s="14"/>
      <c r="E38" s="14"/>
      <c r="F38" s="14"/>
      <c r="G38" s="14"/>
      <c r="H38" s="14"/>
      <c r="I38" s="15"/>
      <c r="J38" s="57"/>
      <c r="K38" s="15"/>
      <c r="L38" s="57"/>
      <c r="M38" s="15"/>
      <c r="N38" s="104"/>
      <c r="O38" s="58"/>
      <c r="P38" s="57"/>
      <c r="Q38" s="15"/>
      <c r="R38" s="57"/>
      <c r="S38" s="15"/>
      <c r="T38" s="57"/>
      <c r="U38" s="15"/>
      <c r="V38" s="57"/>
      <c r="W38" s="15"/>
      <c r="X38" s="57"/>
      <c r="Y38" s="15"/>
      <c r="Z38" s="57"/>
      <c r="AA38" s="15"/>
    </row>
    <row r="39" spans="2:17" ht="12.75">
      <c r="B39" s="31"/>
      <c r="C39" s="105"/>
      <c r="D39" s="8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ht="12.75">
      <c r="B40" s="31"/>
    </row>
    <row r="41" spans="2:9" ht="12.75" customHeight="1">
      <c r="B41" s="31"/>
      <c r="C41" s="252" t="str">
        <f>$B$4&amp;" "&amp;$B$5</f>
        <v>Men B+</v>
      </c>
      <c r="D41" s="253"/>
      <c r="E41" s="254"/>
      <c r="F41" s="32"/>
      <c r="G41" s="5"/>
      <c r="H41" s="5"/>
      <c r="I41" s="6"/>
    </row>
    <row r="42" spans="2:9" ht="12.75" customHeight="1">
      <c r="B42" s="31"/>
      <c r="C42" s="255"/>
      <c r="D42" s="256"/>
      <c r="E42" s="257"/>
      <c r="F42" s="97" t="s">
        <v>32</v>
      </c>
      <c r="G42" s="10" t="str">
        <f>$G$12</f>
        <v>Team</v>
      </c>
      <c r="H42" s="10" t="str">
        <f>$H$12</f>
        <v>City</v>
      </c>
      <c r="I42" s="11" t="str">
        <f>$I$12</f>
        <v>Country</v>
      </c>
    </row>
    <row r="43" spans="2:9" ht="12.75">
      <c r="B43" s="31"/>
      <c r="C43" s="32"/>
      <c r="D43" s="25" t="s">
        <v>64</v>
      </c>
      <c r="E43" s="136">
        <v>1</v>
      </c>
      <c r="F43" s="71" t="str">
        <f>$B$6&amp;"1"</f>
        <v>PA1</v>
      </c>
      <c r="G43" s="5" t="str">
        <f>R34</f>
        <v>W1303 (no. 1)</v>
      </c>
      <c r="H43" s="5" t="e">
        <f>VLOOKUP(G43,$G$13:$I$16,2,FALSE)</f>
        <v>#N/A</v>
      </c>
      <c r="I43" s="6" t="e">
        <f>VLOOKUP(G43,$G$13:$I$16,3,FALSE)</f>
        <v>#N/A</v>
      </c>
    </row>
    <row r="44" spans="2:9" ht="12.75">
      <c r="B44" s="31"/>
      <c r="C44" s="40"/>
      <c r="D44" s="41" t="s">
        <v>65</v>
      </c>
      <c r="E44" s="137">
        <v>2</v>
      </c>
      <c r="F44" s="97" t="str">
        <f>$B$6&amp;"2"</f>
        <v>PA2</v>
      </c>
      <c r="G44" s="10" t="str">
        <f>S34</f>
        <v>L1303 (no. 2)</v>
      </c>
      <c r="H44" s="10" t="e">
        <f>VLOOKUP(G44,$G$13:$I$16,2,FALSE)</f>
        <v>#N/A</v>
      </c>
      <c r="I44" s="11" t="e">
        <f>VLOOKUP(G44,$G$13:$I$16,3,FALSE)</f>
        <v>#N/A</v>
      </c>
    </row>
    <row r="45" spans="2:9" ht="12.75">
      <c r="B45" s="31"/>
      <c r="C45" s="40"/>
      <c r="D45" s="41" t="s">
        <v>66</v>
      </c>
      <c r="E45" s="137">
        <v>3</v>
      </c>
      <c r="F45" s="97" t="str">
        <f>$B$6&amp;"3"</f>
        <v>PA3</v>
      </c>
      <c r="G45" s="10" t="str">
        <f>R31</f>
        <v>W1103 (no. 3)</v>
      </c>
      <c r="H45" s="10" t="e">
        <f>VLOOKUP(G45,$G$13:$I$16,2,FALSE)</f>
        <v>#N/A</v>
      </c>
      <c r="I45" s="11" t="e">
        <f>VLOOKUP(G45,$G$13:$I$16,3,FALSE)</f>
        <v>#N/A</v>
      </c>
    </row>
    <row r="46" spans="2:9" ht="12.75">
      <c r="B46" s="31"/>
      <c r="C46" s="57"/>
      <c r="D46" s="27"/>
      <c r="E46" s="138">
        <v>4</v>
      </c>
      <c r="F46" s="73" t="str">
        <f>$B$6&amp;"4"</f>
        <v>PA4</v>
      </c>
      <c r="G46" s="14" t="str">
        <f>S31</f>
        <v>L1103 (no. 4)</v>
      </c>
      <c r="H46" s="14" t="e">
        <f>VLOOKUP(G46,$G$13:$I$16,2,FALSE)</f>
        <v>#N/A</v>
      </c>
      <c r="I46" s="15" t="e">
        <f>VLOOKUP(G46,$G$13:$I$16,3,FALSE)</f>
        <v>#N/A</v>
      </c>
    </row>
    <row r="47" ht="12.75">
      <c r="B47" s="31"/>
    </row>
  </sheetData>
  <mergeCells count="21">
    <mergeCell ref="C4:F6"/>
    <mergeCell ref="C7:F8"/>
    <mergeCell ref="T19:U19"/>
    <mergeCell ref="V19:W19"/>
    <mergeCell ref="C11:F12"/>
    <mergeCell ref="C41:E42"/>
    <mergeCell ref="J19:K19"/>
    <mergeCell ref="L19:M19"/>
    <mergeCell ref="J28:K28"/>
    <mergeCell ref="L28:M28"/>
    <mergeCell ref="F26:I26"/>
    <mergeCell ref="X28:Y28"/>
    <mergeCell ref="Z28:AA28"/>
    <mergeCell ref="G37:H37"/>
    <mergeCell ref="X19:Y19"/>
    <mergeCell ref="N28:O28"/>
    <mergeCell ref="P28:Q28"/>
    <mergeCell ref="T28:U28"/>
    <mergeCell ref="V28:W28"/>
    <mergeCell ref="N19:O19"/>
    <mergeCell ref="P19:Q19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39" min="2" max="18" man="1"/>
  </rowBreaks>
  <colBreaks count="1" manualBreakCount="1">
    <brk id="17" min="3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44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B+</v>
      </c>
      <c r="D4" s="261"/>
      <c r="E4" s="261"/>
      <c r="F4" s="262"/>
      <c r="G4" s="5"/>
      <c r="H4" s="17" t="str">
        <f>$A$8&amp;":"</f>
        <v>Venue:</v>
      </c>
      <c r="I4" s="6" t="str">
        <f>$B$8</f>
        <v>Olympos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81</v>
      </c>
      <c r="C5" s="263"/>
      <c r="D5" s="264"/>
      <c r="E5" s="264"/>
      <c r="F5" s="265"/>
      <c r="G5" s="10"/>
      <c r="H5" s="19" t="str">
        <f>$A$9&amp;":"</f>
        <v>Court:</v>
      </c>
      <c r="I5" s="20">
        <f>$B$9</f>
        <v>7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93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0.375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tr">
        <f>$B$40&amp;" - "&amp;$B$40+3&amp;" ranking"</f>
        <v>5 - 8 ranking</v>
      </c>
      <c r="D7" s="267"/>
      <c r="E7" s="267"/>
      <c r="F7" s="268"/>
      <c r="G7" s="140"/>
      <c r="H7" s="25" t="str">
        <f>"Each match consists of 2 sets of at most "&amp;$B$13&amp;" points."</f>
        <v>Each match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15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7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0.375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1</v>
      </c>
      <c r="C11" s="272" t="str">
        <f>$A$6&amp;" "&amp;$B$6</f>
        <v>Group PB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154</v>
      </c>
      <c r="H13" s="5" t="s">
        <v>155</v>
      </c>
      <c r="I13" s="6" t="s">
        <v>123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156</v>
      </c>
      <c r="H14" s="10" t="s">
        <v>141</v>
      </c>
      <c r="I14" s="11" t="s">
        <v>120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157</v>
      </c>
      <c r="H15" s="10" t="s">
        <v>158</v>
      </c>
      <c r="I15" s="11" t="s">
        <v>123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2.75">
      <c r="B16" s="3"/>
      <c r="C16" s="57"/>
      <c r="D16" s="14"/>
      <c r="E16" s="14"/>
      <c r="F16" s="39"/>
      <c r="G16" s="57" t="s">
        <v>159</v>
      </c>
      <c r="H16" s="14" t="s">
        <v>160</v>
      </c>
      <c r="I16" s="15" t="s">
        <v>120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3:39" s="65" customFormat="1" ht="12.75">
      <c r="C17" s="19"/>
      <c r="D17" s="66"/>
      <c r="E17" s="66"/>
      <c r="F17" s="67"/>
      <c r="G17" s="68"/>
      <c r="H17" s="66"/>
      <c r="I17" s="66"/>
      <c r="J17" s="69"/>
      <c r="K17" s="69"/>
      <c r="L17" s="69"/>
      <c r="M17" s="69"/>
      <c r="N17" s="69"/>
      <c r="O17" s="69"/>
      <c r="P17" s="69"/>
      <c r="Q17" s="19"/>
      <c r="AA17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3:39" s="65" customFormat="1" ht="12.75">
      <c r="C18" s="19"/>
      <c r="D18" s="66"/>
      <c r="E18" s="66"/>
      <c r="F18" s="67"/>
      <c r="G18" s="68"/>
      <c r="H18" s="66"/>
      <c r="I18" s="66"/>
      <c r="J18" s="69"/>
      <c r="K18" s="69"/>
      <c r="L18" s="69"/>
      <c r="M18" s="69"/>
      <c r="N18" s="69"/>
      <c r="O18" s="69"/>
      <c r="P18" s="69"/>
      <c r="Q18" s="1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3:35" ht="12.75">
      <c r="C19" s="32"/>
      <c r="D19" s="5"/>
      <c r="E19" s="5"/>
      <c r="F19" s="5"/>
      <c r="G19" s="5"/>
      <c r="H19" s="5"/>
      <c r="I19" s="6"/>
      <c r="J19" s="249" t="s">
        <v>39</v>
      </c>
      <c r="K19" s="250"/>
      <c r="L19" s="249" t="s">
        <v>40</v>
      </c>
      <c r="M19" s="250"/>
      <c r="N19" s="249" t="s">
        <v>78</v>
      </c>
      <c r="O19" s="250"/>
      <c r="P19" s="249" t="s">
        <v>31</v>
      </c>
      <c r="Q19" s="250"/>
      <c r="R19" s="32"/>
      <c r="S19" s="6"/>
      <c r="T19" s="249" t="s">
        <v>39</v>
      </c>
      <c r="U19" s="250"/>
      <c r="V19" s="249" t="s">
        <v>40</v>
      </c>
      <c r="W19" s="250"/>
      <c r="X19" s="249" t="s">
        <v>24</v>
      </c>
      <c r="Y19" s="250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3:25" ht="12.75">
      <c r="C20" s="73" t="s">
        <v>18</v>
      </c>
      <c r="D20" s="74" t="s">
        <v>43</v>
      </c>
      <c r="E20" s="74" t="s">
        <v>17</v>
      </c>
      <c r="F20" s="75" t="s">
        <v>44</v>
      </c>
      <c r="G20" s="76" t="s">
        <v>45</v>
      </c>
      <c r="H20" s="77" t="s">
        <v>46</v>
      </c>
      <c r="I20" s="78" t="s">
        <v>47</v>
      </c>
      <c r="J20" s="79" t="s">
        <v>48</v>
      </c>
      <c r="K20" s="80" t="s">
        <v>49</v>
      </c>
      <c r="L20" s="79" t="s">
        <v>48</v>
      </c>
      <c r="M20" s="80" t="s">
        <v>49</v>
      </c>
      <c r="N20" s="79" t="s">
        <v>48</v>
      </c>
      <c r="O20" s="80" t="s">
        <v>49</v>
      </c>
      <c r="P20" s="81" t="s">
        <v>48</v>
      </c>
      <c r="Q20" s="82" t="s">
        <v>49</v>
      </c>
      <c r="R20" s="57" t="s">
        <v>79</v>
      </c>
      <c r="S20" s="15" t="s">
        <v>80</v>
      </c>
      <c r="T20" s="79" t="s">
        <v>48</v>
      </c>
      <c r="U20" s="80" t="s">
        <v>49</v>
      </c>
      <c r="V20" s="79" t="s">
        <v>48</v>
      </c>
      <c r="W20" s="80" t="s">
        <v>49</v>
      </c>
      <c r="X20" s="79" t="s">
        <v>48</v>
      </c>
      <c r="Y20" s="80" t="s">
        <v>49</v>
      </c>
    </row>
    <row r="21" spans="3:25" ht="12.75">
      <c r="C21" s="71"/>
      <c r="D21" s="25"/>
      <c r="E21" s="25"/>
      <c r="F21" s="25"/>
      <c r="G21" s="5"/>
      <c r="H21" s="5"/>
      <c r="I21" s="6"/>
      <c r="J21" s="71"/>
      <c r="K21" s="72"/>
      <c r="L21" s="71"/>
      <c r="M21" s="72"/>
      <c r="N21" s="83"/>
      <c r="O21" s="17"/>
      <c r="P21" s="71"/>
      <c r="Q21" s="72"/>
      <c r="R21" s="32"/>
      <c r="S21" s="6"/>
      <c r="T21" s="32"/>
      <c r="U21" s="6"/>
      <c r="V21" s="32"/>
      <c r="W21" s="6"/>
      <c r="X21" s="40"/>
      <c r="Y21" s="11"/>
    </row>
    <row r="22" spans="3:25" ht="12.75">
      <c r="C22" s="84">
        <f>$B$10+(D22-$B$11)*($B$12/60/24+TIME(0,5,0))</f>
        <v>0.375</v>
      </c>
      <c r="D22" s="85">
        <f>$B$11</f>
        <v>1</v>
      </c>
      <c r="E22" s="85">
        <f>$B$9</f>
        <v>7</v>
      </c>
      <c r="F22" s="85">
        <f>$E22+$D22*100</f>
        <v>107</v>
      </c>
      <c r="G22" s="86" t="str">
        <f>G13</f>
        <v>SC Janus GayLiga05</v>
      </c>
      <c r="H22" s="86" t="str">
        <f>G16</f>
        <v>Koningin Wilhelmina</v>
      </c>
      <c r="I22" s="87" t="str">
        <f>G15</f>
        <v>Kayal Royal</v>
      </c>
      <c r="J22" s="88"/>
      <c r="K22" s="87"/>
      <c r="L22" s="88"/>
      <c r="M22" s="87"/>
      <c r="N22" s="188">
        <f>SUM(J22,L22)</f>
        <v>0</v>
      </c>
      <c r="O22" s="189">
        <f>SUM(K22,M22)</f>
        <v>0</v>
      </c>
      <c r="P22" s="190">
        <f>SUM(T22,V22)</f>
        <v>2</v>
      </c>
      <c r="Q22" s="191">
        <f>SUM(U22,W22)</f>
        <v>2</v>
      </c>
      <c r="R22" s="40" t="str">
        <f>IF(P22&gt;Q22,G22,IF(P22&lt;Q22,H22,IF(N22&gt;O22,G22,IF(N22&lt;O22,H22,IF(X22&gt;Y22,G22,IF(X22&lt;Y22,H22,"W"&amp;F22&amp;" (no. 1 - 2)"))))))</f>
        <v>W107 (no. 1 - 2)</v>
      </c>
      <c r="S22" s="11" t="str">
        <f>IF(P22&gt;Q22,H22,IF(P22&lt;Q22,G22,IF(N22&gt;O22,H22,IF(N22&lt;O22,G22,IF(X22&gt;Y22,H22,IF(X22&lt;Y22,G22,"L"&amp;F22&amp;" (no. 3 - 4)"))))))</f>
        <v>L107 (no. 3 - 4)</v>
      </c>
      <c r="T22" s="51">
        <f>IF(J22&gt;K22,2,IF(J22=K22,1,0))</f>
        <v>1</v>
      </c>
      <c r="U22" s="53">
        <f>IF(K22&gt;J22,2,IF(K22=J22,1,0))</f>
        <v>1</v>
      </c>
      <c r="V22" s="51">
        <f>IF(L22&gt;M22,2,IF(L22=M22,1,0))</f>
        <v>1</v>
      </c>
      <c r="W22" s="53">
        <f>IF(M22&gt;L22,2,IF(M22=L22,1,0))</f>
        <v>1</v>
      </c>
      <c r="X22" s="40"/>
      <c r="Y22" s="11"/>
    </row>
    <row r="23" spans="2:25" ht="12.75">
      <c r="B23" s="31"/>
      <c r="C23" s="84"/>
      <c r="D23" s="85"/>
      <c r="E23" s="85"/>
      <c r="F23" s="85"/>
      <c r="G23" s="30"/>
      <c r="H23" s="30"/>
      <c r="I23" s="87"/>
      <c r="J23" s="92"/>
      <c r="K23" s="93"/>
      <c r="L23" s="92"/>
      <c r="M23" s="93"/>
      <c r="N23" s="188"/>
      <c r="O23" s="189"/>
      <c r="P23" s="190"/>
      <c r="Q23" s="191"/>
      <c r="R23" s="40"/>
      <c r="S23" s="11"/>
      <c r="T23" s="51"/>
      <c r="U23" s="53"/>
      <c r="V23" s="51"/>
      <c r="W23" s="53"/>
      <c r="X23" s="40"/>
      <c r="Y23" s="11"/>
    </row>
    <row r="24" spans="2:25" ht="12.75">
      <c r="B24" s="31"/>
      <c r="C24" s="84">
        <f>$B$10+(D24-$B$11)*($B$12/60/24+TIME(0,5,0))</f>
        <v>0.4027777777777778</v>
      </c>
      <c r="D24" s="145">
        <f>$B$11+1</f>
        <v>2</v>
      </c>
      <c r="E24" s="85">
        <f>$B$9</f>
        <v>7</v>
      </c>
      <c r="F24" s="85">
        <f>$E24+$D24*100</f>
        <v>207</v>
      </c>
      <c r="G24" s="30" t="str">
        <f>G15</f>
        <v>Kayal Royal</v>
      </c>
      <c r="H24" s="30" t="str">
        <f>G14</f>
        <v>Lange Poten 1</v>
      </c>
      <c r="I24" s="87" t="str">
        <f>G13</f>
        <v>SC Janus GayLiga05</v>
      </c>
      <c r="J24" s="92"/>
      <c r="K24" s="93"/>
      <c r="L24" s="92"/>
      <c r="M24" s="93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1 - 2)"))))))</f>
        <v>W207 (no. 1 - 2)</v>
      </c>
      <c r="S24" s="11" t="str">
        <f>IF(P24&gt;Q24,H24,IF(P24&lt;Q24,G24,IF(N24&gt;O24,H24,IF(N24&lt;O24,G24,IF(X24&gt;Y24,H24,IF(X24&lt;Y24,G24,"L"&amp;F24&amp;" (no. 3 - 4)"))))))</f>
        <v>L207 (no. 3 - 4)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2:25" ht="12.75">
      <c r="B25" s="31"/>
      <c r="C25" s="84"/>
      <c r="D25" s="85"/>
      <c r="E25" s="85"/>
      <c r="F25" s="85"/>
      <c r="G25" s="30"/>
      <c r="H25" s="30"/>
      <c r="I25" s="87"/>
      <c r="J25" s="92"/>
      <c r="K25" s="93"/>
      <c r="L25" s="92"/>
      <c r="M25" s="93"/>
      <c r="N25" s="192"/>
      <c r="O25" s="193"/>
      <c r="P25" s="194"/>
      <c r="Q25" s="195"/>
      <c r="R25" s="57"/>
      <c r="S25" s="15"/>
      <c r="T25" s="99"/>
      <c r="U25" s="100"/>
      <c r="V25" s="99"/>
      <c r="W25" s="100"/>
      <c r="X25" s="57"/>
      <c r="Y25" s="15"/>
    </row>
    <row r="26" spans="3:25" ht="12.75">
      <c r="C26" s="71"/>
      <c r="D26" s="25"/>
      <c r="E26" s="25"/>
      <c r="F26" s="25"/>
      <c r="G26" s="5"/>
      <c r="H26" s="5"/>
      <c r="I26" s="6"/>
      <c r="J26" s="71"/>
      <c r="K26" s="72"/>
      <c r="L26" s="71"/>
      <c r="M26" s="72"/>
      <c r="N26" s="196"/>
      <c r="O26" s="197"/>
      <c r="P26" s="196"/>
      <c r="Q26" s="198"/>
      <c r="R26" s="32"/>
      <c r="S26" s="6"/>
      <c r="T26" s="32"/>
      <c r="U26" s="6"/>
      <c r="V26" s="32"/>
      <c r="W26" s="6"/>
      <c r="X26" s="32"/>
      <c r="Y26" s="6"/>
    </row>
    <row r="27" spans="1:25" ht="12.75">
      <c r="A27" s="147"/>
      <c r="B27" s="143"/>
      <c r="C27" s="84">
        <f>$B$10+(D27-$B$11)*($B$12/60/24+TIME(0,5,0))</f>
        <v>0.4305555555555556</v>
      </c>
      <c r="D27" s="85">
        <f>$B$11+2</f>
        <v>3</v>
      </c>
      <c r="E27" s="85">
        <f>$B$9</f>
        <v>7</v>
      </c>
      <c r="F27" s="85">
        <f>$E27+$D27*100</f>
        <v>307</v>
      </c>
      <c r="G27" s="148" t="str">
        <f>S24</f>
        <v>L207 (no. 3 - 4)</v>
      </c>
      <c r="H27" s="148" t="str">
        <f>S22</f>
        <v>L107 (no. 3 - 4)</v>
      </c>
      <c r="I27" s="149" t="str">
        <f>R22</f>
        <v>W107 (no. 1 - 2)</v>
      </c>
      <c r="J27" s="88"/>
      <c r="K27" s="87"/>
      <c r="L27" s="88"/>
      <c r="M27" s="87"/>
      <c r="N27" s="188">
        <f>SUM(J27,L27)</f>
        <v>0</v>
      </c>
      <c r="O27" s="189">
        <f>SUM(K27,M27)</f>
        <v>0</v>
      </c>
      <c r="P27" s="190">
        <f>SUM(T27,V27)</f>
        <v>2</v>
      </c>
      <c r="Q27" s="191">
        <f>SUM(U27,W27)</f>
        <v>2</v>
      </c>
      <c r="R27" s="40" t="str">
        <f>IF(P27&gt;Q27,G27,IF(P27&lt;Q27,H27,IF(N27&gt;O27,G27,IF(N27&lt;O27,H27,IF(X27&gt;Y27,G27,IF(X27&lt;Y27,H27,"W"&amp;F27&amp;" (no. 3)"))))))</f>
        <v>W307 (no. 3)</v>
      </c>
      <c r="S27" s="11" t="str">
        <f>IF(P27&gt;Q27,H27,IF(P27&lt;Q27,G27,IF(N27&gt;O27,H27,IF(N27&lt;O27,G27,IF(X27&gt;Y27,H27,IF(X27&lt;Y27,G27,"L"&amp;F27&amp;" (no. 4)"))))))</f>
        <v>L307 (no. 4)</v>
      </c>
      <c r="T27" s="51">
        <f>IF(J27&gt;K27,2,IF(J27=K27,1,0))</f>
        <v>1</v>
      </c>
      <c r="U27" s="53">
        <f>IF(K27&gt;J27,2,IF(K27=J27,1,0))</f>
        <v>1</v>
      </c>
      <c r="V27" s="51">
        <f>IF(L27&gt;M27,2,IF(L27=M27,1,0))</f>
        <v>1</v>
      </c>
      <c r="W27" s="53">
        <f>IF(M27&gt;L27,2,IF(M27=L27,1,0))</f>
        <v>1</v>
      </c>
      <c r="X27" s="40"/>
      <c r="Y27" s="11"/>
    </row>
    <row r="28" spans="1:25" ht="24.75" customHeight="1">
      <c r="A28" s="147"/>
      <c r="B28" s="143"/>
      <c r="C28" s="84"/>
      <c r="D28" s="85"/>
      <c r="E28" s="159"/>
      <c r="F28" s="159"/>
      <c r="G28" s="237"/>
      <c r="H28" s="237"/>
      <c r="I28" s="238"/>
      <c r="J28" s="88"/>
      <c r="K28" s="87"/>
      <c r="L28" s="88"/>
      <c r="M28" s="87"/>
      <c r="N28" s="188"/>
      <c r="O28" s="189"/>
      <c r="P28" s="190"/>
      <c r="Q28" s="191"/>
      <c r="R28" s="40"/>
      <c r="S28" s="11"/>
      <c r="T28" s="51"/>
      <c r="U28" s="53"/>
      <c r="V28" s="51"/>
      <c r="W28" s="53"/>
      <c r="X28" s="40"/>
      <c r="Y28" s="11"/>
    </row>
    <row r="29" spans="1:25" ht="12.75">
      <c r="A29" s="143"/>
      <c r="B29" s="142"/>
      <c r="C29" s="84"/>
      <c r="D29" s="145"/>
      <c r="E29" s="152"/>
      <c r="F29" s="145"/>
      <c r="G29" s="150"/>
      <c r="H29" s="150"/>
      <c r="I29" s="151"/>
      <c r="J29" s="92"/>
      <c r="K29" s="93"/>
      <c r="L29" s="92"/>
      <c r="M29" s="93"/>
      <c r="N29" s="188"/>
      <c r="O29" s="189"/>
      <c r="P29" s="190"/>
      <c r="Q29" s="191"/>
      <c r="R29" s="40"/>
      <c r="S29" s="11"/>
      <c r="T29" s="51"/>
      <c r="U29" s="53"/>
      <c r="V29" s="51"/>
      <c r="W29" s="53"/>
      <c r="X29" s="40"/>
      <c r="Y29" s="11"/>
    </row>
    <row r="30" spans="1:25" ht="12.75">
      <c r="A30" s="143"/>
      <c r="B30" s="142"/>
      <c r="C30" s="84">
        <f>$B$10+(D30-$B$11)*($B$12/60/24+TIME(0,5,0))</f>
        <v>0.4583333333333333</v>
      </c>
      <c r="D30" s="85">
        <f>$B$11+3</f>
        <v>4</v>
      </c>
      <c r="E30" s="85">
        <f>$B$9</f>
        <v>7</v>
      </c>
      <c r="F30" s="85">
        <f>$E30+$D30*100</f>
        <v>407</v>
      </c>
      <c r="G30" s="144" t="str">
        <f>R22</f>
        <v>W107 (no. 1 - 2)</v>
      </c>
      <c r="H30" s="144" t="str">
        <f>R24</f>
        <v>W207 (no. 1 - 2)</v>
      </c>
      <c r="I30" s="151" t="str">
        <f>S24</f>
        <v>L207 (no. 3 - 4)</v>
      </c>
      <c r="J30" s="92"/>
      <c r="K30" s="93"/>
      <c r="L30" s="92"/>
      <c r="M30" s="93"/>
      <c r="N30" s="188">
        <f>SUM(J30,L30)</f>
        <v>0</v>
      </c>
      <c r="O30" s="189">
        <f>SUM(K30,M30)</f>
        <v>0</v>
      </c>
      <c r="P30" s="190">
        <f>SUM(T30,V30)</f>
        <v>2</v>
      </c>
      <c r="Q30" s="191">
        <f>SUM(U30,W30)</f>
        <v>2</v>
      </c>
      <c r="R30" s="40" t="str">
        <f>IF(P30&gt;Q30,G30,IF(P30&lt;Q30,H30,IF(N30&gt;O30,G30,IF(N30&lt;O30,H30,IF(X30&gt;Y30,G30,IF(X30&lt;Y30,H30,"W"&amp;F30&amp;" (no. 1)"))))))</f>
        <v>W407 (no. 1)</v>
      </c>
      <c r="S30" s="11" t="str">
        <f>IF(P30&gt;Q30,H30,IF(P30&lt;Q30,G30,IF(N30&gt;O30,H30,IF(N30&lt;O30,G30,IF(X30&gt;Y30,H30,IF(X30&lt;Y30,G30,"L"&amp;F30&amp;" (no. 2)"))))))</f>
        <v>L407 (no. 2)</v>
      </c>
      <c r="T30" s="51">
        <f>IF(J30&gt;K30,2,IF(J30=K30,1,0))</f>
        <v>1</v>
      </c>
      <c r="U30" s="53">
        <f>IF(K30&gt;J30,2,IF(K30=J30,1,0))</f>
        <v>1</v>
      </c>
      <c r="V30" s="51">
        <f>IF(L30&gt;M30,2,IF(L30=M30,1,0))</f>
        <v>1</v>
      </c>
      <c r="W30" s="53">
        <f>IF(M30&gt;L30,2,IF(M30=L30,1,0))</f>
        <v>1</v>
      </c>
      <c r="X30" s="40"/>
      <c r="Y30" s="11"/>
    </row>
    <row r="31" spans="1:25" ht="24.75" customHeight="1">
      <c r="A31" s="143"/>
      <c r="B31" s="142"/>
      <c r="C31" s="84"/>
      <c r="D31" s="85"/>
      <c r="E31" s="159"/>
      <c r="F31" s="159"/>
      <c r="G31" s="235"/>
      <c r="H31" s="235"/>
      <c r="I31" s="236"/>
      <c r="J31" s="92"/>
      <c r="K31" s="93"/>
      <c r="L31" s="92"/>
      <c r="M31" s="93"/>
      <c r="N31" s="188"/>
      <c r="O31" s="189"/>
      <c r="P31" s="190"/>
      <c r="Q31" s="191"/>
      <c r="R31" s="40"/>
      <c r="S31" s="11"/>
      <c r="T31" s="51"/>
      <c r="U31" s="53"/>
      <c r="V31" s="51"/>
      <c r="W31" s="53"/>
      <c r="X31" s="40"/>
      <c r="Y31" s="11"/>
    </row>
    <row r="32" spans="3:25" ht="12.75">
      <c r="C32" s="84"/>
      <c r="D32" s="85"/>
      <c r="E32" s="85"/>
      <c r="F32" s="85"/>
      <c r="G32" s="86"/>
      <c r="H32" s="86"/>
      <c r="I32" s="87"/>
      <c r="J32" s="88"/>
      <c r="K32" s="87"/>
      <c r="L32" s="88"/>
      <c r="M32" s="87"/>
      <c r="N32" s="89"/>
      <c r="O32" s="90"/>
      <c r="P32" s="99"/>
      <c r="Q32" s="100"/>
      <c r="R32" s="40"/>
      <c r="S32" s="11"/>
      <c r="T32" s="51"/>
      <c r="U32" s="53"/>
      <c r="V32" s="51"/>
      <c r="W32" s="53"/>
      <c r="X32" s="40"/>
      <c r="Y32" s="11"/>
    </row>
    <row r="33" spans="3:25" ht="12.75" customHeight="1">
      <c r="C33" s="84">
        <f>$B$10+(D33-$B$11)*($B$12/60/24+TIME(0,5,0))</f>
        <v>0.4861111111111111</v>
      </c>
      <c r="D33" s="201">
        <f>$B$11+4</f>
        <v>5</v>
      </c>
      <c r="E33" s="102" t="s">
        <v>51</v>
      </c>
      <c r="F33" s="258" t="s">
        <v>98</v>
      </c>
      <c r="G33" s="258"/>
      <c r="H33" s="258"/>
      <c r="I33" s="259"/>
      <c r="J33" s="88"/>
      <c r="K33" s="87"/>
      <c r="L33" s="88"/>
      <c r="M33" s="87"/>
      <c r="N33" s="89"/>
      <c r="O33" s="90"/>
      <c r="P33" s="99"/>
      <c r="Q33" s="100"/>
      <c r="R33" s="40"/>
      <c r="S33" s="11"/>
      <c r="T33" s="51"/>
      <c r="U33" s="53"/>
      <c r="V33" s="51"/>
      <c r="W33" s="53"/>
      <c r="X33" s="40"/>
      <c r="Y33" s="11"/>
    </row>
    <row r="34" spans="3:25" ht="12.75" customHeight="1">
      <c r="C34" s="84"/>
      <c r="D34" s="85"/>
      <c r="E34" s="102"/>
      <c r="F34" s="258" t="s">
        <v>97</v>
      </c>
      <c r="G34" s="258"/>
      <c r="H34" s="258"/>
      <c r="I34" s="259"/>
      <c r="J34" s="88"/>
      <c r="K34" s="87"/>
      <c r="L34" s="88"/>
      <c r="M34" s="87"/>
      <c r="N34" s="89"/>
      <c r="O34" s="90"/>
      <c r="P34" s="99"/>
      <c r="Q34" s="100"/>
      <c r="R34" s="40"/>
      <c r="S34" s="11"/>
      <c r="T34" s="51"/>
      <c r="U34" s="53"/>
      <c r="V34" s="51"/>
      <c r="W34" s="53"/>
      <c r="X34" s="40"/>
      <c r="Y34" s="11"/>
    </row>
    <row r="35" spans="2:25" ht="12.75">
      <c r="B35" s="31"/>
      <c r="C35" s="158"/>
      <c r="D35" s="159"/>
      <c r="E35" s="159"/>
      <c r="F35" s="159"/>
      <c r="G35" s="160"/>
      <c r="H35" s="160"/>
      <c r="I35" s="161"/>
      <c r="J35" s="162"/>
      <c r="K35" s="163"/>
      <c r="L35" s="162"/>
      <c r="M35" s="163"/>
      <c r="N35" s="164"/>
      <c r="O35" s="165"/>
      <c r="P35" s="166"/>
      <c r="Q35" s="167"/>
      <c r="R35" s="57"/>
      <c r="S35" s="15"/>
      <c r="T35" s="166"/>
      <c r="U35" s="167"/>
      <c r="V35" s="166"/>
      <c r="W35" s="167"/>
      <c r="X35" s="57"/>
      <c r="Y35" s="15"/>
    </row>
    <row r="36" spans="2:17" ht="12.75">
      <c r="B36" s="31"/>
      <c r="C36" s="105"/>
      <c r="D36" s="8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ht="12.75">
      <c r="B37" s="31"/>
    </row>
    <row r="38" spans="2:9" ht="12.75" customHeight="1">
      <c r="B38" s="31"/>
      <c r="C38" s="252" t="str">
        <f>$B$4&amp;" "&amp;$B$5</f>
        <v>Men B+</v>
      </c>
      <c r="D38" s="253"/>
      <c r="E38" s="254"/>
      <c r="F38" s="32"/>
      <c r="G38" s="5"/>
      <c r="H38" s="5"/>
      <c r="I38" s="6"/>
    </row>
    <row r="39" spans="2:9" ht="12.75" customHeight="1">
      <c r="B39" s="31" t="s">
        <v>87</v>
      </c>
      <c r="C39" s="255"/>
      <c r="D39" s="256"/>
      <c r="E39" s="257"/>
      <c r="F39" s="97" t="s">
        <v>32</v>
      </c>
      <c r="G39" s="10" t="str">
        <f>$G$12</f>
        <v>Team</v>
      </c>
      <c r="H39" s="10" t="str">
        <f>$H$12</f>
        <v>City</v>
      </c>
      <c r="I39" s="11" t="str">
        <f>$I$12</f>
        <v>Country</v>
      </c>
    </row>
    <row r="40" spans="2:9" ht="12.75">
      <c r="B40" s="146">
        <v>5</v>
      </c>
      <c r="C40" s="32"/>
      <c r="D40" s="25"/>
      <c r="E40" s="136">
        <f>$B$40</f>
        <v>5</v>
      </c>
      <c r="F40" s="71" t="str">
        <f>$B$6&amp;E40-$B$40+1</f>
        <v>PB1</v>
      </c>
      <c r="G40" s="5" t="str">
        <f>R30</f>
        <v>W407 (no. 1)</v>
      </c>
      <c r="H40" s="5" t="e">
        <f>VLOOKUP(G40,$G$13:$I$16,2,FALSE)</f>
        <v>#N/A</v>
      </c>
      <c r="I40" s="6" t="e">
        <f>VLOOKUP(G40,$G$13:$I$16,3,FALSE)</f>
        <v>#N/A</v>
      </c>
    </row>
    <row r="41" spans="2:9" ht="12.75">
      <c r="B41" s="31"/>
      <c r="C41" s="40"/>
      <c r="D41" s="41"/>
      <c r="E41" s="137">
        <f>E40+1</f>
        <v>6</v>
      </c>
      <c r="F41" s="97" t="str">
        <f>$B$6&amp;E41-$B$40+1</f>
        <v>PB2</v>
      </c>
      <c r="G41" s="10" t="str">
        <f>S30</f>
        <v>L407 (no. 2)</v>
      </c>
      <c r="H41" s="10" t="e">
        <f>VLOOKUP(G41,$G$13:$I$16,2,FALSE)</f>
        <v>#N/A</v>
      </c>
      <c r="I41" s="11" t="e">
        <f>VLOOKUP(G41,$G$13:$I$16,3,FALSE)</f>
        <v>#N/A</v>
      </c>
    </row>
    <row r="42" spans="2:9" ht="12.75">
      <c r="B42" s="31"/>
      <c r="C42" s="40"/>
      <c r="D42" s="41"/>
      <c r="E42" s="137">
        <f>E41+1</f>
        <v>7</v>
      </c>
      <c r="F42" s="97" t="str">
        <f>$B$6&amp;E42-$B$40+1</f>
        <v>PB3</v>
      </c>
      <c r="G42" s="10" t="str">
        <f>R27</f>
        <v>W307 (no. 3)</v>
      </c>
      <c r="H42" s="10" t="e">
        <f>VLOOKUP(G42,$G$13:$I$16,2,FALSE)</f>
        <v>#N/A</v>
      </c>
      <c r="I42" s="11" t="e">
        <f>VLOOKUP(G42,$G$13:$I$16,3,FALSE)</f>
        <v>#N/A</v>
      </c>
    </row>
    <row r="43" spans="2:9" ht="12.75">
      <c r="B43" s="31"/>
      <c r="C43" s="57"/>
      <c r="D43" s="27"/>
      <c r="E43" s="138">
        <f>E42+1</f>
        <v>8</v>
      </c>
      <c r="F43" s="73" t="str">
        <f>$B$6&amp;E43-$B$40+1</f>
        <v>PB4</v>
      </c>
      <c r="G43" s="14" t="str">
        <f>S27</f>
        <v>L307 (no. 4)</v>
      </c>
      <c r="H43" s="14" t="e">
        <f>VLOOKUP(G43,$G$13:$I$16,2,FALSE)</f>
        <v>#N/A</v>
      </c>
      <c r="I43" s="15" t="e">
        <f>VLOOKUP(G43,$G$13:$I$16,3,FALSE)</f>
        <v>#N/A</v>
      </c>
    </row>
    <row r="44" ht="12.75">
      <c r="B44" s="31"/>
    </row>
  </sheetData>
  <mergeCells count="13">
    <mergeCell ref="X19:Y19"/>
    <mergeCell ref="N19:O19"/>
    <mergeCell ref="P19:Q19"/>
    <mergeCell ref="C38:E39"/>
    <mergeCell ref="J19:K19"/>
    <mergeCell ref="L19:M19"/>
    <mergeCell ref="F33:I33"/>
    <mergeCell ref="F34:I34"/>
    <mergeCell ref="C4:F6"/>
    <mergeCell ref="C7:F8"/>
    <mergeCell ref="T19:U19"/>
    <mergeCell ref="V19:W19"/>
    <mergeCell ref="C11:F12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36" min="2" max="18" man="1"/>
  </rowBreaks>
  <colBreaks count="1" manualBreakCount="1">
    <brk id="17" min="3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44"/>
  <sheetViews>
    <sheetView zoomScale="75" zoomScaleNormal="75" workbookViewId="0" topLeftCell="A3">
      <selection activeCell="C14" sqref="C14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B+</v>
      </c>
      <c r="D4" s="261"/>
      <c r="E4" s="261"/>
      <c r="F4" s="262"/>
      <c r="G4" s="5"/>
      <c r="H4" s="17" t="str">
        <f>$A$8&amp;":"</f>
        <v>Venue:</v>
      </c>
      <c r="I4" s="6" t="str">
        <f>$B$8</f>
        <v>Olympos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81</v>
      </c>
      <c r="C5" s="263"/>
      <c r="D5" s="264"/>
      <c r="E5" s="264"/>
      <c r="F5" s="265"/>
      <c r="G5" s="10"/>
      <c r="H5" s="19" t="str">
        <f>$A$9&amp;":"</f>
        <v>Court:</v>
      </c>
      <c r="I5" s="20">
        <f>$B$9</f>
        <v>8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94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0.375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tr">
        <f>$B$40&amp;" - "&amp;$B$40+3&amp;" ranking"</f>
        <v>9 - 12 ranking</v>
      </c>
      <c r="D7" s="267"/>
      <c r="E7" s="267"/>
      <c r="F7" s="268"/>
      <c r="G7" s="140"/>
      <c r="H7" s="25" t="str">
        <f>"Each match consists of 2 sets of at most "&amp;$B$13&amp;" points."</f>
        <v>Each match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15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8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0.375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1</v>
      </c>
      <c r="C11" s="272" t="str">
        <f>$A$6&amp;" "&amp;$B$6</f>
        <v>Group PC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161</v>
      </c>
      <c r="H13" s="5" t="s">
        <v>119</v>
      </c>
      <c r="I13" s="6" t="s">
        <v>120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162</v>
      </c>
      <c r="H14" s="10" t="s">
        <v>163</v>
      </c>
      <c r="I14" s="11" t="s">
        <v>120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164</v>
      </c>
      <c r="H15" s="10" t="s">
        <v>119</v>
      </c>
      <c r="I15" s="11" t="s">
        <v>120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2.75">
      <c r="B16" s="3"/>
      <c r="C16" s="57"/>
      <c r="D16" s="14"/>
      <c r="E16" s="14"/>
      <c r="F16" s="39"/>
      <c r="G16" s="57" t="s">
        <v>165</v>
      </c>
      <c r="H16" s="14" t="s">
        <v>166</v>
      </c>
      <c r="I16" s="15" t="s">
        <v>167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3:39" s="65" customFormat="1" ht="12.75">
      <c r="C17" s="19"/>
      <c r="D17" s="66"/>
      <c r="E17" s="66"/>
      <c r="F17" s="67"/>
      <c r="G17" s="68"/>
      <c r="H17" s="66"/>
      <c r="I17" s="66"/>
      <c r="J17" s="69"/>
      <c r="K17" s="69"/>
      <c r="L17" s="69"/>
      <c r="M17" s="69"/>
      <c r="N17" s="69"/>
      <c r="O17" s="69"/>
      <c r="P17" s="69"/>
      <c r="Q17" s="19"/>
      <c r="AA17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3:39" s="65" customFormat="1" ht="12.75">
      <c r="C18" s="19"/>
      <c r="D18" s="66"/>
      <c r="E18" s="66"/>
      <c r="F18" s="67"/>
      <c r="G18" s="68"/>
      <c r="H18" s="66"/>
      <c r="I18" s="66"/>
      <c r="J18" s="69"/>
      <c r="K18" s="69"/>
      <c r="L18" s="69"/>
      <c r="M18" s="69"/>
      <c r="N18" s="69"/>
      <c r="O18" s="69"/>
      <c r="P18" s="69"/>
      <c r="Q18" s="1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3:35" ht="12.75">
      <c r="C19" s="32"/>
      <c r="D19" s="5"/>
      <c r="E19" s="5"/>
      <c r="F19" s="5"/>
      <c r="G19" s="5"/>
      <c r="H19" s="5"/>
      <c r="I19" s="6"/>
      <c r="J19" s="249" t="s">
        <v>39</v>
      </c>
      <c r="K19" s="250"/>
      <c r="L19" s="249" t="s">
        <v>40</v>
      </c>
      <c r="M19" s="250"/>
      <c r="N19" s="249" t="s">
        <v>78</v>
      </c>
      <c r="O19" s="250"/>
      <c r="P19" s="249" t="s">
        <v>31</v>
      </c>
      <c r="Q19" s="250"/>
      <c r="R19" s="32"/>
      <c r="S19" s="6"/>
      <c r="T19" s="249" t="s">
        <v>39</v>
      </c>
      <c r="U19" s="250"/>
      <c r="V19" s="249" t="s">
        <v>40</v>
      </c>
      <c r="W19" s="250"/>
      <c r="X19" s="249" t="s">
        <v>24</v>
      </c>
      <c r="Y19" s="250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3:25" ht="12.75">
      <c r="C20" s="73" t="s">
        <v>18</v>
      </c>
      <c r="D20" s="74" t="s">
        <v>43</v>
      </c>
      <c r="E20" s="74" t="s">
        <v>17</v>
      </c>
      <c r="F20" s="75" t="s">
        <v>44</v>
      </c>
      <c r="G20" s="76" t="s">
        <v>45</v>
      </c>
      <c r="H20" s="77" t="s">
        <v>46</v>
      </c>
      <c r="I20" s="78" t="s">
        <v>47</v>
      </c>
      <c r="J20" s="79" t="s">
        <v>48</v>
      </c>
      <c r="K20" s="80" t="s">
        <v>49</v>
      </c>
      <c r="L20" s="79" t="s">
        <v>48</v>
      </c>
      <c r="M20" s="80" t="s">
        <v>49</v>
      </c>
      <c r="N20" s="79" t="s">
        <v>48</v>
      </c>
      <c r="O20" s="80" t="s">
        <v>49</v>
      </c>
      <c r="P20" s="81" t="s">
        <v>48</v>
      </c>
      <c r="Q20" s="82" t="s">
        <v>49</v>
      </c>
      <c r="R20" s="57" t="s">
        <v>79</v>
      </c>
      <c r="S20" s="15" t="s">
        <v>80</v>
      </c>
      <c r="T20" s="79" t="s">
        <v>48</v>
      </c>
      <c r="U20" s="80" t="s">
        <v>49</v>
      </c>
      <c r="V20" s="79" t="s">
        <v>48</v>
      </c>
      <c r="W20" s="80" t="s">
        <v>49</v>
      </c>
      <c r="X20" s="79" t="s">
        <v>48</v>
      </c>
      <c r="Y20" s="80" t="s">
        <v>49</v>
      </c>
    </row>
    <row r="21" spans="3:25" ht="12.75">
      <c r="C21" s="71"/>
      <c r="D21" s="25"/>
      <c r="E21" s="25"/>
      <c r="F21" s="25"/>
      <c r="G21" s="5"/>
      <c r="H21" s="5"/>
      <c r="I21" s="6"/>
      <c r="J21" s="71"/>
      <c r="K21" s="72"/>
      <c r="L21" s="71"/>
      <c r="M21" s="72"/>
      <c r="N21" s="83"/>
      <c r="O21" s="17"/>
      <c r="P21" s="71"/>
      <c r="Q21" s="72"/>
      <c r="R21" s="32"/>
      <c r="S21" s="6"/>
      <c r="T21" s="32"/>
      <c r="U21" s="6"/>
      <c r="V21" s="32"/>
      <c r="W21" s="6"/>
      <c r="X21" s="40"/>
      <c r="Y21" s="11"/>
    </row>
    <row r="22" spans="3:25" ht="12.75">
      <c r="C22" s="84">
        <f>$B$10+(D22-$B$11)*($B$12/60/24+TIME(0,5,0))</f>
        <v>0.375</v>
      </c>
      <c r="D22" s="85">
        <f>$B$11</f>
        <v>1</v>
      </c>
      <c r="E22" s="85">
        <f>$B$9</f>
        <v>8</v>
      </c>
      <c r="F22" s="85">
        <f>$E22+$D22*100</f>
        <v>108</v>
      </c>
      <c r="G22" s="86" t="str">
        <f>G13</f>
        <v>Netzo 1</v>
      </c>
      <c r="H22" s="86" t="str">
        <f>G16</f>
        <v>Tangra</v>
      </c>
      <c r="I22" s="87" t="str">
        <f>G15</f>
        <v>Mokumer Knapen</v>
      </c>
      <c r="J22" s="88"/>
      <c r="K22" s="87"/>
      <c r="L22" s="88"/>
      <c r="M22" s="87"/>
      <c r="N22" s="188">
        <f>SUM(J22,L22)</f>
        <v>0</v>
      </c>
      <c r="O22" s="189">
        <f>SUM(K22,M22)</f>
        <v>0</v>
      </c>
      <c r="P22" s="190">
        <f>SUM(T22,V22)</f>
        <v>2</v>
      </c>
      <c r="Q22" s="191">
        <f>SUM(U22,W22)</f>
        <v>2</v>
      </c>
      <c r="R22" s="40" t="str">
        <f>IF(P22&gt;Q22,G22,IF(P22&lt;Q22,H22,IF(N22&gt;O22,G22,IF(N22&lt;O22,H22,IF(X22&gt;Y22,G22,IF(X22&lt;Y22,H22,"W"&amp;F22&amp;" (no. 1 - 2)"))))))</f>
        <v>W108 (no. 1 - 2)</v>
      </c>
      <c r="S22" s="11" t="str">
        <f>IF(P22&gt;Q22,H22,IF(P22&lt;Q22,G22,IF(N22&gt;O22,H22,IF(N22&lt;O22,G22,IF(X22&gt;Y22,H22,IF(X22&lt;Y22,G22,"L"&amp;F22&amp;" (no. 3 - 4)"))))))</f>
        <v>L108 (no. 3 - 4)</v>
      </c>
      <c r="T22" s="51">
        <f>IF(J22&gt;K22,2,IF(J22=K22,1,0))</f>
        <v>1</v>
      </c>
      <c r="U22" s="53">
        <f>IF(K22&gt;J22,2,IF(K22=J22,1,0))</f>
        <v>1</v>
      </c>
      <c r="V22" s="51">
        <f>IF(L22&gt;M22,2,IF(L22=M22,1,0))</f>
        <v>1</v>
      </c>
      <c r="W22" s="53">
        <f>IF(M22&gt;L22,2,IF(M22=L22,1,0))</f>
        <v>1</v>
      </c>
      <c r="X22" s="40"/>
      <c r="Y22" s="11"/>
    </row>
    <row r="23" spans="2:25" ht="12.75">
      <c r="B23" s="31"/>
      <c r="C23" s="84"/>
      <c r="D23" s="85"/>
      <c r="E23" s="85"/>
      <c r="F23" s="85"/>
      <c r="G23" s="30"/>
      <c r="H23" s="30"/>
      <c r="I23" s="87"/>
      <c r="J23" s="92"/>
      <c r="K23" s="93"/>
      <c r="L23" s="92"/>
      <c r="M23" s="93"/>
      <c r="N23" s="188"/>
      <c r="O23" s="189"/>
      <c r="P23" s="190"/>
      <c r="Q23" s="191"/>
      <c r="R23" s="40"/>
      <c r="S23" s="11"/>
      <c r="T23" s="51"/>
      <c r="U23" s="53"/>
      <c r="V23" s="51"/>
      <c r="W23" s="53"/>
      <c r="X23" s="40"/>
      <c r="Y23" s="11"/>
    </row>
    <row r="24" spans="2:25" ht="12.75">
      <c r="B24" s="31"/>
      <c r="C24" s="84">
        <f>$B$10+(D24-$B$11)*($B$12/60/24+TIME(0,5,0))</f>
        <v>0.4027777777777778</v>
      </c>
      <c r="D24" s="145">
        <f>$B$11+1</f>
        <v>2</v>
      </c>
      <c r="E24" s="85">
        <f>$B$9</f>
        <v>8</v>
      </c>
      <c r="F24" s="85">
        <f>$E24+$D24*100</f>
        <v>208</v>
      </c>
      <c r="G24" s="30" t="str">
        <f>G15</f>
        <v>Mokumer Knapen</v>
      </c>
      <c r="H24" s="30" t="str">
        <f>G14</f>
        <v>Goud 1</v>
      </c>
      <c r="I24" s="87" t="str">
        <f>G13</f>
        <v>Netzo 1</v>
      </c>
      <c r="J24" s="92"/>
      <c r="K24" s="93"/>
      <c r="L24" s="92"/>
      <c r="M24" s="93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1 - 2)"))))))</f>
        <v>W208 (no. 1 - 2)</v>
      </c>
      <c r="S24" s="11" t="str">
        <f>IF(P24&gt;Q24,H24,IF(P24&lt;Q24,G24,IF(N24&gt;O24,H24,IF(N24&lt;O24,G24,IF(X24&gt;Y24,H24,IF(X24&lt;Y24,G24,"L"&amp;F24&amp;" (no. 3 - 4)"))))))</f>
        <v>L208 (no. 3 - 4)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2:25" ht="12.75">
      <c r="B25" s="31"/>
      <c r="C25" s="84"/>
      <c r="D25" s="85"/>
      <c r="E25" s="85"/>
      <c r="F25" s="85"/>
      <c r="G25" s="30"/>
      <c r="H25" s="30"/>
      <c r="I25" s="87"/>
      <c r="J25" s="92"/>
      <c r="K25" s="93"/>
      <c r="L25" s="92"/>
      <c r="M25" s="93"/>
      <c r="N25" s="169"/>
      <c r="O25" s="85"/>
      <c r="P25" s="99"/>
      <c r="Q25" s="100"/>
      <c r="R25" s="57"/>
      <c r="S25" s="15"/>
      <c r="T25" s="99"/>
      <c r="U25" s="100"/>
      <c r="V25" s="99"/>
      <c r="W25" s="100"/>
      <c r="X25" s="57"/>
      <c r="Y25" s="15"/>
    </row>
    <row r="26" spans="3:25" ht="12.75">
      <c r="C26" s="71"/>
      <c r="D26" s="25"/>
      <c r="E26" s="25"/>
      <c r="F26" s="25"/>
      <c r="G26" s="5"/>
      <c r="H26" s="5"/>
      <c r="I26" s="6"/>
      <c r="J26" s="71"/>
      <c r="K26" s="72"/>
      <c r="L26" s="71"/>
      <c r="M26" s="72"/>
      <c r="N26" s="71"/>
      <c r="O26" s="25"/>
      <c r="P26" s="71"/>
      <c r="Q26" s="72"/>
      <c r="R26" s="32"/>
      <c r="S26" s="6"/>
      <c r="T26" s="32"/>
      <c r="U26" s="6"/>
      <c r="V26" s="32"/>
      <c r="W26" s="6"/>
      <c r="X26" s="32"/>
      <c r="Y26" s="6"/>
    </row>
    <row r="27" spans="1:25" ht="12.75">
      <c r="A27" s="147"/>
      <c r="B27" s="143"/>
      <c r="C27" s="84">
        <f>$B$10+(D27-$B$11)*($B$12/60/24+TIME(0,5,0))</f>
        <v>0.4305555555555556</v>
      </c>
      <c r="D27" s="85">
        <f>$B$11+2</f>
        <v>3</v>
      </c>
      <c r="E27" s="85">
        <f>$B$9</f>
        <v>8</v>
      </c>
      <c r="F27" s="85">
        <f>$E27+$D27*100</f>
        <v>308</v>
      </c>
      <c r="G27" s="148" t="str">
        <f>S24</f>
        <v>L208 (no. 3 - 4)</v>
      </c>
      <c r="H27" s="148" t="str">
        <f>S22</f>
        <v>L108 (no. 3 - 4)</v>
      </c>
      <c r="I27" s="149" t="str">
        <f>R22</f>
        <v>W108 (no. 1 - 2)</v>
      </c>
      <c r="J27" s="88"/>
      <c r="K27" s="87"/>
      <c r="L27" s="88"/>
      <c r="M27" s="87"/>
      <c r="N27" s="188">
        <f>SUM(J27,L27)</f>
        <v>0</v>
      </c>
      <c r="O27" s="189">
        <f>SUM(K27,M27)</f>
        <v>0</v>
      </c>
      <c r="P27" s="190">
        <f>SUM(T27,V27)</f>
        <v>2</v>
      </c>
      <c r="Q27" s="191">
        <f>SUM(U27,W27)</f>
        <v>2</v>
      </c>
      <c r="R27" s="40" t="str">
        <f>IF(P27&gt;Q27,G27,IF(P27&lt;Q27,H27,IF(N27&gt;O27,G27,IF(N27&lt;O27,H27,IF(X27&gt;Y27,G27,IF(X27&lt;Y27,H27,"W"&amp;F27&amp;" (no. 3)"))))))</f>
        <v>W308 (no. 3)</v>
      </c>
      <c r="S27" s="11" t="str">
        <f>IF(P27&gt;Q27,H27,IF(P27&lt;Q27,G27,IF(N27&gt;O27,H27,IF(N27&lt;O27,G27,IF(X27&gt;Y27,H27,IF(X27&lt;Y27,G27,"L"&amp;F27&amp;" (no. 4)"))))))</f>
        <v>L308 (no. 4)</v>
      </c>
      <c r="T27" s="51">
        <f>IF(J27&gt;K27,2,IF(J27=K27,1,0))</f>
        <v>1</v>
      </c>
      <c r="U27" s="53">
        <f>IF(K27&gt;J27,2,IF(K27=J27,1,0))</f>
        <v>1</v>
      </c>
      <c r="V27" s="51">
        <f>IF(L27&gt;M27,2,IF(L27=M27,1,0))</f>
        <v>1</v>
      </c>
      <c r="W27" s="53">
        <f>IF(M27&gt;L27,2,IF(M27=L27,1,0))</f>
        <v>1</v>
      </c>
      <c r="X27" s="40"/>
      <c r="Y27" s="11"/>
    </row>
    <row r="28" spans="1:25" ht="24.75" customHeight="1">
      <c r="A28" s="147"/>
      <c r="B28" s="143"/>
      <c r="C28" s="84"/>
      <c r="D28" s="85"/>
      <c r="E28" s="159"/>
      <c r="F28" s="159"/>
      <c r="G28" s="237"/>
      <c r="H28" s="237"/>
      <c r="I28" s="238"/>
      <c r="J28" s="88"/>
      <c r="K28" s="87"/>
      <c r="L28" s="88"/>
      <c r="M28" s="87"/>
      <c r="N28" s="188"/>
      <c r="O28" s="189"/>
      <c r="P28" s="190"/>
      <c r="Q28" s="191"/>
      <c r="R28" s="40"/>
      <c r="S28" s="11"/>
      <c r="T28" s="51"/>
      <c r="U28" s="53"/>
      <c r="V28" s="51"/>
      <c r="W28" s="53"/>
      <c r="X28" s="40"/>
      <c r="Y28" s="11"/>
    </row>
    <row r="29" spans="1:25" ht="12.75">
      <c r="A29" s="143"/>
      <c r="B29" s="142"/>
      <c r="C29" s="84"/>
      <c r="D29" s="145"/>
      <c r="E29" s="152"/>
      <c r="F29" s="145"/>
      <c r="G29" s="150"/>
      <c r="H29" s="150"/>
      <c r="I29" s="151"/>
      <c r="J29" s="92"/>
      <c r="K29" s="93"/>
      <c r="L29" s="92"/>
      <c r="M29" s="93"/>
      <c r="N29" s="188"/>
      <c r="O29" s="189"/>
      <c r="P29" s="190"/>
      <c r="Q29" s="191"/>
      <c r="R29" s="40"/>
      <c r="S29" s="11"/>
      <c r="T29" s="51"/>
      <c r="U29" s="53"/>
      <c r="V29" s="51"/>
      <c r="W29" s="53"/>
      <c r="X29" s="40"/>
      <c r="Y29" s="11"/>
    </row>
    <row r="30" spans="1:25" ht="12.75">
      <c r="A30" s="143"/>
      <c r="B30" s="142"/>
      <c r="C30" s="84">
        <f>$B$10+(D30-$B$11)*($B$12/60/24+TIME(0,5,0))</f>
        <v>0.4583333333333333</v>
      </c>
      <c r="D30" s="85">
        <f>$B$11+3</f>
        <v>4</v>
      </c>
      <c r="E30" s="85">
        <f>$B$9</f>
        <v>8</v>
      </c>
      <c r="F30" s="85">
        <f>$E30+$D30*100</f>
        <v>408</v>
      </c>
      <c r="G30" s="144" t="str">
        <f>R22</f>
        <v>W108 (no. 1 - 2)</v>
      </c>
      <c r="H30" s="144" t="str">
        <f>R24</f>
        <v>W208 (no. 1 - 2)</v>
      </c>
      <c r="I30" s="151" t="str">
        <f>S24</f>
        <v>L208 (no. 3 - 4)</v>
      </c>
      <c r="J30" s="92"/>
      <c r="K30" s="93"/>
      <c r="L30" s="92"/>
      <c r="M30" s="93"/>
      <c r="N30" s="188">
        <f>SUM(J30,L30)</f>
        <v>0</v>
      </c>
      <c r="O30" s="189">
        <f>SUM(K30,M30)</f>
        <v>0</v>
      </c>
      <c r="P30" s="190">
        <f>SUM(T30,V30)</f>
        <v>2</v>
      </c>
      <c r="Q30" s="191">
        <f>SUM(U30,W30)</f>
        <v>2</v>
      </c>
      <c r="R30" s="40" t="str">
        <f>IF(P30&gt;Q30,G30,IF(P30&lt;Q30,H30,IF(N30&gt;O30,G30,IF(N30&lt;O30,H30,IF(X30&gt;Y30,G30,IF(X30&lt;Y30,H30,"W"&amp;F30&amp;" (no. 1)"))))))</f>
        <v>W408 (no. 1)</v>
      </c>
      <c r="S30" s="11" t="str">
        <f>IF(P30&gt;Q30,H30,IF(P30&lt;Q30,G30,IF(N30&gt;O30,H30,IF(N30&lt;O30,G30,IF(X30&gt;Y30,H30,IF(X30&lt;Y30,G30,"L"&amp;F30&amp;" (no. 2)"))))))</f>
        <v>L408 (no. 2)</v>
      </c>
      <c r="T30" s="51">
        <f>IF(J30&gt;K30,2,IF(J30=K30,1,0))</f>
        <v>1</v>
      </c>
      <c r="U30" s="53">
        <f>IF(K30&gt;J30,2,IF(K30=J30,1,0))</f>
        <v>1</v>
      </c>
      <c r="V30" s="51">
        <f>IF(L30&gt;M30,2,IF(L30=M30,1,0))</f>
        <v>1</v>
      </c>
      <c r="W30" s="53">
        <f>IF(M30&gt;L30,2,IF(M30=L30,1,0))</f>
        <v>1</v>
      </c>
      <c r="X30" s="40"/>
      <c r="Y30" s="11"/>
    </row>
    <row r="31" spans="1:25" ht="24.75" customHeight="1">
      <c r="A31" s="143"/>
      <c r="B31" s="142"/>
      <c r="C31" s="84"/>
      <c r="D31" s="85"/>
      <c r="E31" s="159"/>
      <c r="F31" s="159"/>
      <c r="G31" s="235"/>
      <c r="H31" s="235"/>
      <c r="I31" s="236"/>
      <c r="J31" s="92"/>
      <c r="K31" s="93"/>
      <c r="L31" s="92"/>
      <c r="M31" s="93"/>
      <c r="N31" s="188"/>
      <c r="O31" s="189"/>
      <c r="P31" s="190"/>
      <c r="Q31" s="191"/>
      <c r="R31" s="40"/>
      <c r="S31" s="11"/>
      <c r="T31" s="51"/>
      <c r="U31" s="53"/>
      <c r="V31" s="51"/>
      <c r="W31" s="53"/>
      <c r="X31" s="40"/>
      <c r="Y31" s="11"/>
    </row>
    <row r="32" spans="3:25" ht="12.75">
      <c r="C32" s="84"/>
      <c r="D32" s="85"/>
      <c r="E32" s="85"/>
      <c r="F32" s="85"/>
      <c r="G32" s="86"/>
      <c r="H32" s="86"/>
      <c r="I32" s="87"/>
      <c r="J32" s="88"/>
      <c r="K32" s="87"/>
      <c r="L32" s="88"/>
      <c r="M32" s="87"/>
      <c r="N32" s="89"/>
      <c r="O32" s="90"/>
      <c r="P32" s="99"/>
      <c r="Q32" s="100"/>
      <c r="R32" s="40"/>
      <c r="S32" s="11"/>
      <c r="T32" s="51"/>
      <c r="U32" s="53"/>
      <c r="V32" s="51"/>
      <c r="W32" s="53"/>
      <c r="X32" s="40"/>
      <c r="Y32" s="11"/>
    </row>
    <row r="33" spans="3:25" ht="12.75" customHeight="1">
      <c r="C33" s="84">
        <f>$B$10+(D33-$B$11)*($B$12/60/24+TIME(0,5,0))</f>
        <v>0.4861111111111111</v>
      </c>
      <c r="D33" s="201">
        <f>$B$11+4</f>
        <v>5</v>
      </c>
      <c r="E33" s="102" t="s">
        <v>51</v>
      </c>
      <c r="F33" s="258" t="s">
        <v>98</v>
      </c>
      <c r="G33" s="258"/>
      <c r="H33" s="258"/>
      <c r="I33" s="259"/>
      <c r="J33" s="88"/>
      <c r="K33" s="87"/>
      <c r="L33" s="88"/>
      <c r="M33" s="87"/>
      <c r="N33" s="89"/>
      <c r="O33" s="90"/>
      <c r="P33" s="99"/>
      <c r="Q33" s="100"/>
      <c r="R33" s="40"/>
      <c r="S33" s="11"/>
      <c r="T33" s="51"/>
      <c r="U33" s="53"/>
      <c r="V33" s="51"/>
      <c r="W33" s="53"/>
      <c r="X33" s="40"/>
      <c r="Y33" s="11"/>
    </row>
    <row r="34" spans="3:25" ht="12.75" customHeight="1">
      <c r="C34" s="84"/>
      <c r="D34" s="85"/>
      <c r="E34" s="102"/>
      <c r="F34" s="258" t="s">
        <v>97</v>
      </c>
      <c r="G34" s="258"/>
      <c r="H34" s="258"/>
      <c r="I34" s="259"/>
      <c r="J34" s="88"/>
      <c r="K34" s="87"/>
      <c r="L34" s="88"/>
      <c r="M34" s="87"/>
      <c r="N34" s="89"/>
      <c r="O34" s="90"/>
      <c r="P34" s="99"/>
      <c r="Q34" s="100"/>
      <c r="R34" s="40"/>
      <c r="S34" s="11"/>
      <c r="T34" s="51"/>
      <c r="U34" s="53"/>
      <c r="V34" s="51"/>
      <c r="W34" s="53"/>
      <c r="X34" s="40"/>
      <c r="Y34" s="11"/>
    </row>
    <row r="35" spans="2:25" ht="12.75">
      <c r="B35" s="31"/>
      <c r="C35" s="158"/>
      <c r="D35" s="159"/>
      <c r="E35" s="159"/>
      <c r="F35" s="159"/>
      <c r="G35" s="160"/>
      <c r="H35" s="160"/>
      <c r="I35" s="161"/>
      <c r="J35" s="162"/>
      <c r="K35" s="163"/>
      <c r="L35" s="162"/>
      <c r="M35" s="163"/>
      <c r="N35" s="164"/>
      <c r="O35" s="165"/>
      <c r="P35" s="166"/>
      <c r="Q35" s="167"/>
      <c r="R35" s="57"/>
      <c r="S35" s="15"/>
      <c r="T35" s="166"/>
      <c r="U35" s="167"/>
      <c r="V35" s="166"/>
      <c r="W35" s="167"/>
      <c r="X35" s="57"/>
      <c r="Y35" s="15"/>
    </row>
    <row r="36" spans="2:17" ht="12.75">
      <c r="B36" s="31"/>
      <c r="C36" s="105"/>
      <c r="D36" s="8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ht="12.75">
      <c r="B37" s="31"/>
    </row>
    <row r="38" spans="2:9" ht="12.75" customHeight="1">
      <c r="B38" s="31"/>
      <c r="C38" s="252" t="str">
        <f>$B$4&amp;" "&amp;$B$5</f>
        <v>Men B+</v>
      </c>
      <c r="D38" s="253"/>
      <c r="E38" s="254"/>
      <c r="F38" s="32"/>
      <c r="G38" s="5"/>
      <c r="H38" s="5"/>
      <c r="I38" s="6"/>
    </row>
    <row r="39" spans="2:9" ht="12.75" customHeight="1">
      <c r="B39" s="31" t="s">
        <v>87</v>
      </c>
      <c r="C39" s="255"/>
      <c r="D39" s="256"/>
      <c r="E39" s="257"/>
      <c r="F39" s="97" t="s">
        <v>32</v>
      </c>
      <c r="G39" s="10" t="str">
        <f>$G$12</f>
        <v>Team</v>
      </c>
      <c r="H39" s="10" t="str">
        <f>$H$12</f>
        <v>City</v>
      </c>
      <c r="I39" s="11" t="str">
        <f>$I$12</f>
        <v>Country</v>
      </c>
    </row>
    <row r="40" spans="2:9" ht="12.75">
      <c r="B40" s="146">
        <v>9</v>
      </c>
      <c r="C40" s="32"/>
      <c r="D40" s="25"/>
      <c r="E40" s="136">
        <f>$B$40</f>
        <v>9</v>
      </c>
      <c r="F40" s="71" t="str">
        <f>$B$6&amp;E40-$B$40+1</f>
        <v>PC1</v>
      </c>
      <c r="G40" s="5" t="str">
        <f>R30</f>
        <v>W408 (no. 1)</v>
      </c>
      <c r="H40" s="5" t="e">
        <f>VLOOKUP(G40,$G$13:$I$16,2,FALSE)</f>
        <v>#N/A</v>
      </c>
      <c r="I40" s="6" t="e">
        <f>VLOOKUP(G40,$G$13:$I$16,3,FALSE)</f>
        <v>#N/A</v>
      </c>
    </row>
    <row r="41" spans="2:9" ht="12.75">
      <c r="B41" s="31"/>
      <c r="C41" s="40"/>
      <c r="D41" s="41"/>
      <c r="E41" s="137">
        <f>E40+1</f>
        <v>10</v>
      </c>
      <c r="F41" s="97" t="str">
        <f>$B$6&amp;E41-$B$40+1</f>
        <v>PC2</v>
      </c>
      <c r="G41" s="10" t="str">
        <f>S30</f>
        <v>L408 (no. 2)</v>
      </c>
      <c r="H41" s="10" t="e">
        <f>VLOOKUP(G41,$G$13:$I$16,2,FALSE)</f>
        <v>#N/A</v>
      </c>
      <c r="I41" s="11" t="e">
        <f>VLOOKUP(G41,$G$13:$I$16,3,FALSE)</f>
        <v>#N/A</v>
      </c>
    </row>
    <row r="42" spans="2:9" ht="12.75">
      <c r="B42" s="31"/>
      <c r="C42" s="40"/>
      <c r="D42" s="41"/>
      <c r="E42" s="137">
        <f>E41+1</f>
        <v>11</v>
      </c>
      <c r="F42" s="97" t="str">
        <f>$B$6&amp;E42-$B$40+1</f>
        <v>PC3</v>
      </c>
      <c r="G42" s="10" t="str">
        <f>R27</f>
        <v>W308 (no. 3)</v>
      </c>
      <c r="H42" s="10" t="e">
        <f>VLOOKUP(G42,$G$13:$I$16,2,FALSE)</f>
        <v>#N/A</v>
      </c>
      <c r="I42" s="11" t="e">
        <f>VLOOKUP(G42,$G$13:$I$16,3,FALSE)</f>
        <v>#N/A</v>
      </c>
    </row>
    <row r="43" spans="2:9" ht="12.75">
      <c r="B43" s="31"/>
      <c r="C43" s="57"/>
      <c r="D43" s="27"/>
      <c r="E43" s="138">
        <f>E42+1</f>
        <v>12</v>
      </c>
      <c r="F43" s="73" t="str">
        <f>$B$6&amp;E43-$B$40+1</f>
        <v>PC4</v>
      </c>
      <c r="G43" s="14" t="str">
        <f>S27</f>
        <v>L308 (no. 4)</v>
      </c>
      <c r="H43" s="14" t="e">
        <f>VLOOKUP(G43,$G$13:$I$16,2,FALSE)</f>
        <v>#N/A</v>
      </c>
      <c r="I43" s="15" t="e">
        <f>VLOOKUP(G43,$G$13:$I$16,3,FALSE)</f>
        <v>#N/A</v>
      </c>
    </row>
    <row r="44" ht="12.75">
      <c r="B44" s="31"/>
    </row>
  </sheetData>
  <mergeCells count="13">
    <mergeCell ref="C4:F6"/>
    <mergeCell ref="C7:F8"/>
    <mergeCell ref="T19:U19"/>
    <mergeCell ref="V19:W19"/>
    <mergeCell ref="C11:F12"/>
    <mergeCell ref="X19:Y19"/>
    <mergeCell ref="N19:O19"/>
    <mergeCell ref="P19:Q19"/>
    <mergeCell ref="C38:E39"/>
    <mergeCell ref="J19:K19"/>
    <mergeCell ref="L19:M19"/>
    <mergeCell ref="F33:I33"/>
    <mergeCell ref="F34:I34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36" min="2" max="18" man="1"/>
  </rowBreaks>
  <colBreaks count="1" manualBreakCount="1">
    <brk id="17" min="3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75"/>
  <sheetViews>
    <sheetView zoomScale="75" zoomScaleNormal="75" workbookViewId="0" topLeftCell="B1">
      <selection activeCell="M17" sqref="M17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B</v>
      </c>
      <c r="D4" s="261"/>
      <c r="E4" s="261"/>
      <c r="F4" s="262"/>
      <c r="G4" s="5"/>
      <c r="H4" s="17" t="str">
        <f>$A$8&amp;":"</f>
        <v>Venue:</v>
      </c>
      <c r="I4" s="6" t="str">
        <f>$B$8</f>
        <v>Olympos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67</v>
      </c>
      <c r="C5" s="263"/>
      <c r="D5" s="264"/>
      <c r="E5" s="264"/>
      <c r="F5" s="265"/>
      <c r="G5" s="10"/>
      <c r="H5" s="19" t="str">
        <f>$A$9&amp;":"</f>
        <v>Court:</v>
      </c>
      <c r="I5" s="20" t="str">
        <f>$B$9&amp;" / "&amp;$B$9+1</f>
        <v>1 / 2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86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0.375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">
        <v>85</v>
      </c>
      <c r="D7" s="267"/>
      <c r="E7" s="267"/>
      <c r="F7" s="268"/>
      <c r="G7" s="140"/>
      <c r="H7" s="25" t="str">
        <f>"Each match (except finals) consists of 2 sets of at most "&amp;$B$13&amp;" points."</f>
        <v>Each match (except finals)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15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1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0.375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1</v>
      </c>
      <c r="C11" s="272" t="str">
        <f>$A$6&amp;" "&amp;$B$6</f>
        <v>Group BA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115</v>
      </c>
      <c r="H13" s="5" t="s">
        <v>116</v>
      </c>
      <c r="I13" s="6" t="s">
        <v>117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118</v>
      </c>
      <c r="H14" s="10" t="s">
        <v>119</v>
      </c>
      <c r="I14" s="11" t="s">
        <v>120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121</v>
      </c>
      <c r="H15" s="10" t="s">
        <v>122</v>
      </c>
      <c r="I15" s="11" t="s">
        <v>123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2.75">
      <c r="B16" s="3"/>
      <c r="C16" s="40"/>
      <c r="D16" s="10"/>
      <c r="E16" s="10"/>
      <c r="F16" s="50"/>
      <c r="G16" s="40" t="s">
        <v>124</v>
      </c>
      <c r="H16" s="10" t="s">
        <v>125</v>
      </c>
      <c r="I16" s="11" t="s">
        <v>120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2:21" ht="12.75">
      <c r="B17" s="3"/>
      <c r="C17" s="40"/>
      <c r="D17" s="10"/>
      <c r="E17" s="10"/>
      <c r="F17" s="50"/>
      <c r="G17" s="40" t="s">
        <v>244</v>
      </c>
      <c r="H17" s="10" t="s">
        <v>245</v>
      </c>
      <c r="I17" s="11" t="s">
        <v>246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</row>
    <row r="18" spans="2:21" ht="12.75">
      <c r="B18" s="3"/>
      <c r="C18" s="40"/>
      <c r="D18" s="10"/>
      <c r="E18" s="10"/>
      <c r="F18" s="50"/>
      <c r="G18" s="40" t="s">
        <v>247</v>
      </c>
      <c r="H18" s="10" t="s">
        <v>248</v>
      </c>
      <c r="I18" s="11" t="s">
        <v>123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</row>
    <row r="19" spans="2:21" ht="12.75">
      <c r="B19" s="3"/>
      <c r="C19" s="40"/>
      <c r="D19" s="10"/>
      <c r="E19" s="10"/>
      <c r="F19" s="50"/>
      <c r="G19" s="40" t="s">
        <v>255</v>
      </c>
      <c r="H19" s="10" t="s">
        <v>256</v>
      </c>
      <c r="I19" s="11" t="s">
        <v>151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3:21" ht="12.75">
      <c r="C20" s="57"/>
      <c r="D20" s="58"/>
      <c r="E20" s="14"/>
      <c r="F20" s="39"/>
      <c r="G20" s="57" t="s">
        <v>257</v>
      </c>
      <c r="H20" s="14" t="s">
        <v>119</v>
      </c>
      <c r="I20" s="15" t="s">
        <v>120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3:39" s="65" customFormat="1" ht="12.75">
      <c r="C21" s="19"/>
      <c r="D21" s="66"/>
      <c r="E21" s="66"/>
      <c r="F21" s="67"/>
      <c r="G21" s="68"/>
      <c r="H21" s="66"/>
      <c r="I21" s="66"/>
      <c r="J21" s="69"/>
      <c r="K21" s="69"/>
      <c r="L21" s="69"/>
      <c r="M21" s="69"/>
      <c r="N21" s="69"/>
      <c r="O21" s="69"/>
      <c r="P21" s="69"/>
      <c r="Q21" s="19"/>
      <c r="AA21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70"/>
    </row>
    <row r="22" spans="3:39" s="65" customFormat="1" ht="12.75">
      <c r="C22" s="19"/>
      <c r="D22" s="66"/>
      <c r="E22" s="66"/>
      <c r="F22" s="67"/>
      <c r="G22" s="68"/>
      <c r="H22" s="66"/>
      <c r="I22" s="66"/>
      <c r="J22" s="69"/>
      <c r="K22" s="69"/>
      <c r="L22" s="69"/>
      <c r="M22" s="69"/>
      <c r="N22" s="69"/>
      <c r="O22" s="69"/>
      <c r="P22" s="69"/>
      <c r="Q22" s="1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70"/>
    </row>
    <row r="23" spans="3:35" ht="12.75">
      <c r="C23" s="32"/>
      <c r="D23" s="5"/>
      <c r="E23" s="5"/>
      <c r="F23" s="5"/>
      <c r="G23" s="5"/>
      <c r="H23" s="5"/>
      <c r="I23" s="6"/>
      <c r="J23" s="249" t="s">
        <v>39</v>
      </c>
      <c r="K23" s="250"/>
      <c r="L23" s="249" t="s">
        <v>40</v>
      </c>
      <c r="M23" s="250"/>
      <c r="N23" s="249" t="s">
        <v>78</v>
      </c>
      <c r="O23" s="250"/>
      <c r="P23" s="249" t="s">
        <v>31</v>
      </c>
      <c r="Q23" s="250"/>
      <c r="R23" s="32"/>
      <c r="S23" s="6"/>
      <c r="T23" s="249" t="s">
        <v>39</v>
      </c>
      <c r="U23" s="250"/>
      <c r="V23" s="249" t="s">
        <v>40</v>
      </c>
      <c r="W23" s="250"/>
      <c r="X23" s="249" t="s">
        <v>24</v>
      </c>
      <c r="Y23" s="250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3:25" ht="12.75">
      <c r="C24" s="73" t="s">
        <v>18</v>
      </c>
      <c r="D24" s="74" t="s">
        <v>43</v>
      </c>
      <c r="E24" s="74" t="s">
        <v>17</v>
      </c>
      <c r="F24" s="75" t="s">
        <v>44</v>
      </c>
      <c r="G24" s="76" t="s">
        <v>45</v>
      </c>
      <c r="H24" s="77" t="s">
        <v>46</v>
      </c>
      <c r="I24" s="78" t="s">
        <v>47</v>
      </c>
      <c r="J24" s="79" t="s">
        <v>48</v>
      </c>
      <c r="K24" s="80" t="s">
        <v>49</v>
      </c>
      <c r="L24" s="79" t="s">
        <v>48</v>
      </c>
      <c r="M24" s="80" t="s">
        <v>49</v>
      </c>
      <c r="N24" s="79" t="s">
        <v>48</v>
      </c>
      <c r="O24" s="80" t="s">
        <v>49</v>
      </c>
      <c r="P24" s="81" t="s">
        <v>48</v>
      </c>
      <c r="Q24" s="82" t="s">
        <v>49</v>
      </c>
      <c r="R24" s="57" t="s">
        <v>79</v>
      </c>
      <c r="S24" s="15" t="s">
        <v>80</v>
      </c>
      <c r="T24" s="79" t="s">
        <v>48</v>
      </c>
      <c r="U24" s="80" t="s">
        <v>49</v>
      </c>
      <c r="V24" s="79" t="s">
        <v>48</v>
      </c>
      <c r="W24" s="80" t="s">
        <v>49</v>
      </c>
      <c r="X24" s="79" t="s">
        <v>48</v>
      </c>
      <c r="Y24" s="80" t="s">
        <v>49</v>
      </c>
    </row>
    <row r="25" spans="3:25" ht="12.75">
      <c r="C25" s="71"/>
      <c r="D25" s="25"/>
      <c r="E25" s="25"/>
      <c r="F25" s="25"/>
      <c r="G25" s="5"/>
      <c r="H25" s="5"/>
      <c r="I25" s="6"/>
      <c r="J25" s="71"/>
      <c r="K25" s="72"/>
      <c r="L25" s="71"/>
      <c r="M25" s="72"/>
      <c r="N25" s="83"/>
      <c r="O25" s="17"/>
      <c r="P25" s="71"/>
      <c r="Q25" s="72"/>
      <c r="R25" s="32"/>
      <c r="S25" s="6"/>
      <c r="T25" s="32"/>
      <c r="U25" s="6"/>
      <c r="V25" s="32"/>
      <c r="W25" s="6"/>
      <c r="X25" s="40"/>
      <c r="Y25" s="11"/>
    </row>
    <row r="26" spans="3:25" ht="12.75">
      <c r="C26" s="84">
        <f>$B$10+(D26-$B$11)*($B$12/60/24+TIME(0,5,0))</f>
        <v>0.375</v>
      </c>
      <c r="D26" s="85">
        <f>$B$11</f>
        <v>1</v>
      </c>
      <c r="E26" s="85">
        <f>$B$9</f>
        <v>1</v>
      </c>
      <c r="F26" s="85">
        <f>$E26+$D26*100</f>
        <v>101</v>
      </c>
      <c r="G26" s="86" t="str">
        <f>G13</f>
        <v>HOT Helsinki</v>
      </c>
      <c r="H26" s="86" t="str">
        <f>G16</f>
        <v>ZLG Old Stars</v>
      </c>
      <c r="I26" s="87" t="str">
        <f>G15</f>
        <v>Rosa Löwen</v>
      </c>
      <c r="J26" s="88"/>
      <c r="K26" s="87"/>
      <c r="L26" s="88"/>
      <c r="M26" s="87"/>
      <c r="N26" s="188">
        <f>SUM(J26,L26)</f>
        <v>0</v>
      </c>
      <c r="O26" s="189">
        <f>SUM(K26,M26)</f>
        <v>0</v>
      </c>
      <c r="P26" s="190">
        <f>SUM(T26,V26)</f>
        <v>2</v>
      </c>
      <c r="Q26" s="191">
        <f>SUM(U26,W26)</f>
        <v>2</v>
      </c>
      <c r="R26" s="40" t="str">
        <f>IF(P26&gt;Q26,G26,IF(P26&lt;Q26,H26,IF(N26&gt;O26,G26,IF(N26&lt;O26,H26,IF(X26&gt;Y26,G26,IF(X26&lt;Y26,H26,"W"&amp;F26&amp;" (no. 1 - 4)"))))))</f>
        <v>W101 (no. 1 - 4)</v>
      </c>
      <c r="S26" s="11" t="str">
        <f>IF(P26&gt;Q26,H26,IF(P26&lt;Q26,G26,IF(N26&gt;O26,H26,IF(N26&lt;O26,G26,IF(X26&gt;Y26,H26,IF(X26&lt;Y26,G26,"L"&amp;F26&amp;" (no. 5 - 8)"))))))</f>
        <v>L101 (no. 5 - 8)</v>
      </c>
      <c r="T26" s="51">
        <f>IF(J26&gt;K26,2,IF(J26=K26,1,0))</f>
        <v>1</v>
      </c>
      <c r="U26" s="53">
        <f>IF(K26&gt;J26,2,IF(K26=J26,1,0))</f>
        <v>1</v>
      </c>
      <c r="V26" s="51">
        <f>IF(L26&gt;M26,2,IF(L26=M26,1,0))</f>
        <v>1</v>
      </c>
      <c r="W26" s="53">
        <f>IF(M26&gt;L26,2,IF(M26=L26,1,0))</f>
        <v>1</v>
      </c>
      <c r="X26" s="40"/>
      <c r="Y26" s="11"/>
    </row>
    <row r="27" spans="3:25" ht="12.75">
      <c r="C27" s="84"/>
      <c r="D27" s="85">
        <f>$B$11</f>
        <v>1</v>
      </c>
      <c r="E27" s="85">
        <f>$B$9+1</f>
        <v>2</v>
      </c>
      <c r="F27" s="85">
        <f>$E27+$D27*100</f>
        <v>102</v>
      </c>
      <c r="G27" s="86" t="str">
        <f>G17</f>
        <v>qSport</v>
      </c>
      <c r="H27" s="86" t="str">
        <f>G20</f>
        <v>We love Sjoukje D.</v>
      </c>
      <c r="I27" s="87" t="str">
        <f>G14</f>
        <v>AMBI</v>
      </c>
      <c r="J27" s="88"/>
      <c r="K27" s="87"/>
      <c r="L27" s="88"/>
      <c r="M27" s="87"/>
      <c r="N27" s="188">
        <f>SUM(J27,L27)</f>
        <v>0</v>
      </c>
      <c r="O27" s="189">
        <f>SUM(K27,M27)</f>
        <v>0</v>
      </c>
      <c r="P27" s="190">
        <f>SUM(T27,V27)</f>
        <v>2</v>
      </c>
      <c r="Q27" s="191">
        <f>SUM(U27,W27)</f>
        <v>2</v>
      </c>
      <c r="R27" s="40" t="str">
        <f>IF(P27&gt;Q27,G27,IF(P27&lt;Q27,H27,IF(N27&gt;O27,G27,IF(N27&lt;O27,H27,IF(X27&gt;Y27,G27,IF(X27&lt;Y27,H27,"W"&amp;F27&amp;" (no. 1 - 4)"))))))</f>
        <v>W102 (no. 1 - 4)</v>
      </c>
      <c r="S27" s="11" t="str">
        <f>IF(P27&gt;Q27,H27,IF(P27&lt;Q27,G27,IF(N27&gt;O27,H27,IF(N27&lt;O27,G27,IF(X27&gt;Y27,H27,IF(X27&lt;Y27,G27,"L"&amp;F27&amp;" (no. 5 - 8)"))))))</f>
        <v>L102 (no. 5 - 8)</v>
      </c>
      <c r="T27" s="51">
        <f>IF(J27&gt;K27,2,IF(J27=K27,1,0))</f>
        <v>1</v>
      </c>
      <c r="U27" s="53">
        <f>IF(K27&gt;J27,2,IF(K27=J27,1,0))</f>
        <v>1</v>
      </c>
      <c r="V27" s="51">
        <f>IF(L27&gt;M27,2,IF(L27=M27,1,0))</f>
        <v>1</v>
      </c>
      <c r="W27" s="53">
        <f>IF(M27&gt;L27,2,IF(M27=L27,1,0))</f>
        <v>1</v>
      </c>
      <c r="X27" s="40"/>
      <c r="Y27" s="11"/>
    </row>
    <row r="28" spans="2:25" ht="12.75">
      <c r="B28" s="31"/>
      <c r="C28" s="84"/>
      <c r="D28" s="85"/>
      <c r="E28" s="85"/>
      <c r="F28" s="85"/>
      <c r="G28" s="30"/>
      <c r="H28" s="30"/>
      <c r="I28" s="87"/>
      <c r="J28" s="92"/>
      <c r="K28" s="93"/>
      <c r="L28" s="92"/>
      <c r="M28" s="93"/>
      <c r="N28" s="188"/>
      <c r="O28" s="189"/>
      <c r="P28" s="190"/>
      <c r="Q28" s="191"/>
      <c r="R28" s="40"/>
      <c r="S28" s="11"/>
      <c r="T28" s="51"/>
      <c r="U28" s="53"/>
      <c r="V28" s="51"/>
      <c r="W28" s="53"/>
      <c r="X28" s="40"/>
      <c r="Y28" s="11"/>
    </row>
    <row r="29" spans="2:25" ht="12.75">
      <c r="B29" s="31"/>
      <c r="C29" s="84">
        <f>$B$10+(D29-$B$11)*($B$12/60/24+TIME(0,5,0))</f>
        <v>0.4027777777777778</v>
      </c>
      <c r="D29" s="145">
        <f>$B$11+1</f>
        <v>2</v>
      </c>
      <c r="E29" s="85">
        <f>$B$9</f>
        <v>1</v>
      </c>
      <c r="F29" s="85">
        <f>$E29+$D29*100</f>
        <v>201</v>
      </c>
      <c r="G29" s="30" t="str">
        <f>G19</f>
        <v>Streghe</v>
      </c>
      <c r="H29" s="30" t="str">
        <f>G18</f>
        <v>SC AufRuhr</v>
      </c>
      <c r="I29" s="87" t="str">
        <f>G20</f>
        <v>We love Sjoukje D.</v>
      </c>
      <c r="J29" s="92"/>
      <c r="K29" s="93"/>
      <c r="L29" s="92"/>
      <c r="M29" s="93"/>
      <c r="N29" s="188">
        <f>SUM(J29,L29)</f>
        <v>0</v>
      </c>
      <c r="O29" s="189">
        <f>SUM(K29,M29)</f>
        <v>0</v>
      </c>
      <c r="P29" s="190">
        <f>SUM(T29,V29)</f>
        <v>2</v>
      </c>
      <c r="Q29" s="191">
        <f>SUM(U29,W29)</f>
        <v>2</v>
      </c>
      <c r="R29" s="40" t="str">
        <f>IF(P29&gt;Q29,G29,IF(P29&lt;Q29,H29,IF(N29&gt;O29,G29,IF(N29&lt;O29,H29,IF(X29&gt;Y29,G29,IF(X29&lt;Y29,H29,"W"&amp;F29&amp;" (no. 1 - 4)"))))))</f>
        <v>W201 (no. 1 - 4)</v>
      </c>
      <c r="S29" s="11" t="str">
        <f>IF(P29&gt;Q29,H29,IF(P29&lt;Q29,G29,IF(N29&gt;O29,H29,IF(N29&lt;O29,G29,IF(X29&gt;Y29,H29,IF(X29&lt;Y29,G29,"L"&amp;F29&amp;" (no. 5 - 8)"))))))</f>
        <v>L201 (no. 5 - 8)</v>
      </c>
      <c r="T29" s="51">
        <f>IF(J29&gt;K29,2,IF(J29=K29,1,0))</f>
        <v>1</v>
      </c>
      <c r="U29" s="53">
        <f>IF(K29&gt;J29,2,IF(K29=J29,1,0))</f>
        <v>1</v>
      </c>
      <c r="V29" s="51">
        <f>IF(L29&gt;M29,2,IF(L29=M29,1,0))</f>
        <v>1</v>
      </c>
      <c r="W29" s="53">
        <f>IF(M29&gt;L29,2,IF(M29=L29,1,0))</f>
        <v>1</v>
      </c>
      <c r="X29" s="40"/>
      <c r="Y29" s="11"/>
    </row>
    <row r="30" spans="2:25" ht="12.75">
      <c r="B30" s="31"/>
      <c r="C30" s="84"/>
      <c r="D30" s="85">
        <f>$B$11+1</f>
        <v>2</v>
      </c>
      <c r="E30" s="85">
        <f>$B$9+1</f>
        <v>2</v>
      </c>
      <c r="F30" s="85">
        <f>$E30+$D30*100</f>
        <v>202</v>
      </c>
      <c r="G30" s="30" t="str">
        <f>G15</f>
        <v>Rosa Löwen</v>
      </c>
      <c r="H30" s="30" t="str">
        <f>G14</f>
        <v>AMBI</v>
      </c>
      <c r="I30" s="87" t="str">
        <f>G17</f>
        <v>qSport</v>
      </c>
      <c r="J30" s="92"/>
      <c r="K30" s="93"/>
      <c r="L30" s="92"/>
      <c r="M30" s="93"/>
      <c r="N30" s="188">
        <f>SUM(J30,L30)</f>
        <v>0</v>
      </c>
      <c r="O30" s="189">
        <f>SUM(K30,M30)</f>
        <v>0</v>
      </c>
      <c r="P30" s="190">
        <f>SUM(T30,V30)</f>
        <v>2</v>
      </c>
      <c r="Q30" s="191">
        <f>SUM(U30,W30)</f>
        <v>2</v>
      </c>
      <c r="R30" s="40" t="str">
        <f>IF(P30&gt;Q30,G30,IF(P30&lt;Q30,H30,IF(N30&gt;O30,G30,IF(N30&lt;O30,H30,IF(X30&gt;Y30,G30,IF(X30&lt;Y30,H30,"W"&amp;F30&amp;" (no. 1 - 4)"))))))</f>
        <v>W202 (no. 1 - 4)</v>
      </c>
      <c r="S30" s="11" t="str">
        <f>IF(P30&gt;Q30,H30,IF(P30&lt;Q30,G30,IF(N30&gt;O30,H30,IF(N30&lt;O30,G30,IF(X30&gt;Y30,H30,IF(X30&lt;Y30,G30,"L"&amp;F30&amp;" (no. 5 - 8)"))))))</f>
        <v>L202 (no. 5 - 8)</v>
      </c>
      <c r="T30" s="51">
        <f>IF(J30&gt;K30,2,IF(J30=K30,1,0))</f>
        <v>1</v>
      </c>
      <c r="U30" s="53">
        <f>IF(K30&gt;J30,2,IF(K30=J30,1,0))</f>
        <v>1</v>
      </c>
      <c r="V30" s="51">
        <f>IF(L30&gt;M30,2,IF(L30=M30,1,0))</f>
        <v>1</v>
      </c>
      <c r="W30" s="53">
        <f>IF(M30&gt;L30,2,IF(M30=L30,1,0))</f>
        <v>1</v>
      </c>
      <c r="X30" s="40"/>
      <c r="Y30" s="11"/>
    </row>
    <row r="31" spans="2:25" ht="12.75">
      <c r="B31" s="31"/>
      <c r="C31" s="84"/>
      <c r="D31" s="85"/>
      <c r="E31" s="85"/>
      <c r="F31" s="85"/>
      <c r="G31" s="30"/>
      <c r="H31" s="30"/>
      <c r="I31" s="87"/>
      <c r="J31" s="92"/>
      <c r="K31" s="93"/>
      <c r="L31" s="92"/>
      <c r="M31" s="93"/>
      <c r="N31" s="169"/>
      <c r="O31" s="85"/>
      <c r="P31" s="99"/>
      <c r="Q31" s="100"/>
      <c r="R31" s="57"/>
      <c r="S31" s="15"/>
      <c r="T31" s="99"/>
      <c r="U31" s="100"/>
      <c r="V31" s="99"/>
      <c r="W31" s="100"/>
      <c r="X31" s="57"/>
      <c r="Y31" s="15"/>
    </row>
    <row r="32" spans="3:25" ht="12.75">
      <c r="C32" s="71"/>
      <c r="D32" s="25"/>
      <c r="E32" s="25"/>
      <c r="F32" s="25"/>
      <c r="G32" s="5"/>
      <c r="H32" s="5"/>
      <c r="I32" s="6"/>
      <c r="J32" s="71"/>
      <c r="K32" s="72"/>
      <c r="L32" s="71"/>
      <c r="M32" s="72"/>
      <c r="N32" s="71"/>
      <c r="O32" s="25"/>
      <c r="P32" s="71"/>
      <c r="Q32" s="72"/>
      <c r="R32" s="32"/>
      <c r="S32" s="6"/>
      <c r="T32" s="32"/>
      <c r="U32" s="6"/>
      <c r="V32" s="32"/>
      <c r="W32" s="6"/>
      <c r="X32" s="40"/>
      <c r="Y32" s="11"/>
    </row>
    <row r="33" spans="3:25" ht="12.75">
      <c r="C33" s="84">
        <f>$B$10+(D33-$B$11)*($B$12/60/24+TIME(0,5,0))</f>
        <v>0.4305555555555556</v>
      </c>
      <c r="D33" s="85">
        <f>$B$11+2</f>
        <v>3</v>
      </c>
      <c r="E33" s="85">
        <f>$B$9</f>
        <v>1</v>
      </c>
      <c r="F33" s="85">
        <f>$E33+$D33*100</f>
        <v>301</v>
      </c>
      <c r="G33" s="86" t="str">
        <f>S27</f>
        <v>L102 (no. 5 - 8)</v>
      </c>
      <c r="H33" s="86" t="str">
        <f>S26</f>
        <v>L101 (no. 5 - 8)</v>
      </c>
      <c r="I33" s="87" t="str">
        <f>R26</f>
        <v>W101 (no. 1 - 4)</v>
      </c>
      <c r="J33" s="88"/>
      <c r="K33" s="87"/>
      <c r="L33" s="88"/>
      <c r="M33" s="87"/>
      <c r="N33" s="188">
        <f>SUM(J33,L33)</f>
        <v>0</v>
      </c>
      <c r="O33" s="189">
        <f>SUM(K33,M33)</f>
        <v>0</v>
      </c>
      <c r="P33" s="190">
        <f>SUM(T33,V33)</f>
        <v>2</v>
      </c>
      <c r="Q33" s="191">
        <f>SUM(U33,W33)</f>
        <v>2</v>
      </c>
      <c r="R33" s="40" t="str">
        <f>IF(P33&gt;Q33,G33,IF(P33&lt;Q33,H33,IF(N33&gt;O33,G33,IF(N33&lt;O33,H33,IF(X33&gt;Y33,G33,IF(X33&lt;Y33,H33,"W"&amp;F33&amp;" (no. 5 - 6)"))))))</f>
        <v>W301 (no. 5 - 6)</v>
      </c>
      <c r="S33" s="11" t="str">
        <f>IF(P33&gt;Q33,H33,IF(P33&lt;Q33,G33,IF(N33&gt;O33,H33,IF(N33&lt;O33,G33,IF(X33&gt;Y33,H33,IF(X33&lt;Y33,G33,"L"&amp;F33&amp;" (no. 7 - 8)"))))))</f>
        <v>L301 (no. 7 - 8)</v>
      </c>
      <c r="T33" s="51">
        <f>IF(J33&gt;K33,2,IF(J33=K33,1,0))</f>
        <v>1</v>
      </c>
      <c r="U33" s="53">
        <f>IF(K33&gt;J33,2,IF(K33=J33,1,0))</f>
        <v>1</v>
      </c>
      <c r="V33" s="51">
        <f>IF(L33&gt;M33,2,IF(L33=M33,1,0))</f>
        <v>1</v>
      </c>
      <c r="W33" s="53">
        <f>IF(M33&gt;L33,2,IF(M33=L33,1,0))</f>
        <v>1</v>
      </c>
      <c r="X33" s="40"/>
      <c r="Y33" s="11"/>
    </row>
    <row r="34" spans="3:25" ht="24.75" customHeight="1">
      <c r="C34" s="84"/>
      <c r="D34" s="85"/>
      <c r="E34" s="159"/>
      <c r="F34" s="159"/>
      <c r="G34" s="187"/>
      <c r="H34" s="187"/>
      <c r="I34" s="161"/>
      <c r="J34" s="88"/>
      <c r="K34" s="87"/>
      <c r="L34" s="88"/>
      <c r="M34" s="87"/>
      <c r="N34" s="188"/>
      <c r="O34" s="189"/>
      <c r="P34" s="190"/>
      <c r="Q34" s="191"/>
      <c r="R34" s="40"/>
      <c r="S34" s="11"/>
      <c r="T34" s="51"/>
      <c r="U34" s="53"/>
      <c r="V34" s="51"/>
      <c r="W34" s="53"/>
      <c r="X34" s="40"/>
      <c r="Y34" s="11"/>
    </row>
    <row r="35" spans="3:25" ht="12.75">
      <c r="C35" s="84"/>
      <c r="D35" s="85">
        <f>$B$11+2</f>
        <v>3</v>
      </c>
      <c r="E35" s="85">
        <f>$B$9+1</f>
        <v>2</v>
      </c>
      <c r="F35" s="85">
        <f>$E35+$D35*100</f>
        <v>302</v>
      </c>
      <c r="G35" s="86" t="str">
        <f>S30</f>
        <v>L202 (no. 5 - 8)</v>
      </c>
      <c r="H35" s="86" t="str">
        <f>S29</f>
        <v>L201 (no. 5 - 8)</v>
      </c>
      <c r="I35" s="87" t="str">
        <f>R29</f>
        <v>W201 (no. 1 - 4)</v>
      </c>
      <c r="J35" s="88"/>
      <c r="K35" s="87"/>
      <c r="L35" s="88"/>
      <c r="M35" s="87"/>
      <c r="N35" s="188">
        <f>SUM(J35,L35)</f>
        <v>0</v>
      </c>
      <c r="O35" s="189">
        <f>SUM(K35,M35)</f>
        <v>0</v>
      </c>
      <c r="P35" s="190">
        <f>SUM(T35,V35)</f>
        <v>2</v>
      </c>
      <c r="Q35" s="191">
        <f>SUM(U35,W35)</f>
        <v>2</v>
      </c>
      <c r="R35" s="40" t="str">
        <f>IF(P35&gt;Q35,G35,IF(P35&lt;Q35,H35,IF(N35&gt;O35,G35,IF(N35&lt;O35,H35,IF(X35&gt;Y35,G35,IF(X35&lt;Y35,H35,"W"&amp;F35&amp;" (no. 5 - 6)"))))))</f>
        <v>W302 (no. 5 - 6)</v>
      </c>
      <c r="S35" s="11" t="str">
        <f>IF(P35&gt;Q35,H35,IF(P35&lt;Q35,G35,IF(N35&gt;O35,H35,IF(N35&lt;O35,G35,IF(X35&gt;Y35,H35,IF(X35&lt;Y35,G35,"L"&amp;F35&amp;" (no. 7 - 8)"))))))</f>
        <v>L302 (no. 7 - 8)</v>
      </c>
      <c r="T35" s="51">
        <f>IF(J35&gt;K35,2,IF(J35=K35,1,0))</f>
        <v>1</v>
      </c>
      <c r="U35" s="53">
        <f>IF(K35&gt;J35,2,IF(K35=J35,1,0))</f>
        <v>1</v>
      </c>
      <c r="V35" s="51">
        <f>IF(L35&gt;M35,2,IF(L35=M35,1,0))</f>
        <v>1</v>
      </c>
      <c r="W35" s="53">
        <f>IF(M35&gt;L35,2,IF(M35=L35,1,0))</f>
        <v>1</v>
      </c>
      <c r="X35" s="40"/>
      <c r="Y35" s="11"/>
    </row>
    <row r="36" spans="3:25" ht="24.75" customHeight="1">
      <c r="C36" s="84"/>
      <c r="D36" s="85"/>
      <c r="E36" s="159"/>
      <c r="F36" s="159"/>
      <c r="G36" s="187"/>
      <c r="H36" s="187"/>
      <c r="I36" s="161"/>
      <c r="J36" s="88"/>
      <c r="K36" s="87"/>
      <c r="L36" s="88"/>
      <c r="M36" s="87"/>
      <c r="N36" s="188"/>
      <c r="O36" s="189"/>
      <c r="P36" s="190"/>
      <c r="Q36" s="191"/>
      <c r="R36" s="40"/>
      <c r="S36" s="11"/>
      <c r="T36" s="51"/>
      <c r="U36" s="53"/>
      <c r="V36" s="51"/>
      <c r="W36" s="53"/>
      <c r="X36" s="40"/>
      <c r="Y36" s="11"/>
    </row>
    <row r="37" spans="2:25" ht="12.75">
      <c r="B37" s="31"/>
      <c r="C37" s="84"/>
      <c r="D37" s="85"/>
      <c r="E37" s="85"/>
      <c r="F37" s="85"/>
      <c r="G37" s="30"/>
      <c r="H37" s="30"/>
      <c r="I37" s="87"/>
      <c r="J37" s="92"/>
      <c r="K37" s="93"/>
      <c r="L37" s="92"/>
      <c r="M37" s="93"/>
      <c r="N37" s="188"/>
      <c r="O37" s="189"/>
      <c r="P37" s="190"/>
      <c r="Q37" s="191"/>
      <c r="R37" s="40"/>
      <c r="S37" s="11"/>
      <c r="T37" s="51"/>
      <c r="U37" s="53"/>
      <c r="V37" s="51"/>
      <c r="W37" s="53"/>
      <c r="X37" s="40"/>
      <c r="Y37" s="11"/>
    </row>
    <row r="38" spans="2:25" ht="12.75">
      <c r="B38" s="31"/>
      <c r="C38" s="84">
        <f>$B$10+(D38-$B$11)*($B$12/60/24+TIME(0,5,0))</f>
        <v>0.4583333333333333</v>
      </c>
      <c r="D38" s="145">
        <f>$B$11+3</f>
        <v>4</v>
      </c>
      <c r="E38" s="85">
        <f>$B$9</f>
        <v>1</v>
      </c>
      <c r="F38" s="85">
        <f>$E38+$D38*100</f>
        <v>401</v>
      </c>
      <c r="G38" s="30" t="str">
        <f>R26</f>
        <v>W101 (no. 1 - 4)</v>
      </c>
      <c r="H38" s="30" t="str">
        <f>R27</f>
        <v>W102 (no. 1 - 4)</v>
      </c>
      <c r="I38" s="87" t="str">
        <f>S26</f>
        <v>L101 (no. 5 - 8)</v>
      </c>
      <c r="J38" s="92"/>
      <c r="K38" s="93"/>
      <c r="L38" s="92"/>
      <c r="M38" s="93"/>
      <c r="N38" s="188">
        <f>SUM(J38,L38)</f>
        <v>0</v>
      </c>
      <c r="O38" s="189">
        <f>SUM(K38,M38)</f>
        <v>0</v>
      </c>
      <c r="P38" s="190">
        <f>SUM(T38,V38)</f>
        <v>2</v>
      </c>
      <c r="Q38" s="191">
        <f>SUM(U38,W38)</f>
        <v>2</v>
      </c>
      <c r="R38" s="40" t="str">
        <f>IF(P38&gt;Q38,G38,IF(P38&lt;Q38,H38,IF(N38&gt;O38,G38,IF(N38&lt;O38,H38,IF(X38&gt;Y38,G38,IF(X38&lt;Y38,H38,"W"&amp;F38&amp;" (no. 1 - 2)"))))))</f>
        <v>W401 (no. 1 - 2)</v>
      </c>
      <c r="S38" s="11" t="str">
        <f>IF(P38&gt;Q38,H38,IF(P38&lt;Q38,G38,IF(N38&gt;O38,H38,IF(N38&lt;O38,G38,IF(X38&gt;Y38,H38,IF(X38&lt;Y38,G38,"L"&amp;F38&amp;" (no. 3 - 4)"))))))</f>
        <v>L401 (no. 3 - 4)</v>
      </c>
      <c r="T38" s="51">
        <f>IF(J38&gt;K38,2,IF(J38=K38,1,0))</f>
        <v>1</v>
      </c>
      <c r="U38" s="53">
        <f>IF(K38&gt;J38,2,IF(K38=J38,1,0))</f>
        <v>1</v>
      </c>
      <c r="V38" s="51">
        <f>IF(L38&gt;M38,2,IF(L38=M38,1,0))</f>
        <v>1</v>
      </c>
      <c r="W38" s="53">
        <f>IF(M38&gt;L38,2,IF(M38=L38,1,0))</f>
        <v>1</v>
      </c>
      <c r="X38" s="40"/>
      <c r="Y38" s="11"/>
    </row>
    <row r="39" spans="2:25" ht="24.75" customHeight="1">
      <c r="B39" s="31"/>
      <c r="C39" s="84"/>
      <c r="D39" s="145"/>
      <c r="E39" s="159"/>
      <c r="F39" s="159"/>
      <c r="G39" s="160"/>
      <c r="H39" s="160"/>
      <c r="I39" s="161"/>
      <c r="J39" s="92"/>
      <c r="K39" s="93"/>
      <c r="L39" s="92"/>
      <c r="M39" s="93"/>
      <c r="N39" s="188"/>
      <c r="O39" s="189"/>
      <c r="P39" s="190"/>
      <c r="Q39" s="191"/>
      <c r="R39" s="40"/>
      <c r="S39" s="11"/>
      <c r="T39" s="51"/>
      <c r="U39" s="53"/>
      <c r="V39" s="51"/>
      <c r="W39" s="53"/>
      <c r="X39" s="40"/>
      <c r="Y39" s="11"/>
    </row>
    <row r="40" spans="2:25" ht="12.75">
      <c r="B40" s="31"/>
      <c r="C40" s="84"/>
      <c r="D40" s="85">
        <f>$B$11+3</f>
        <v>4</v>
      </c>
      <c r="E40" s="85">
        <f>$B$9+1</f>
        <v>2</v>
      </c>
      <c r="F40" s="85">
        <f>$E40+$D40*100</f>
        <v>402</v>
      </c>
      <c r="G40" s="30" t="str">
        <f>R29</f>
        <v>W201 (no. 1 - 4)</v>
      </c>
      <c r="H40" s="30" t="str">
        <f>R30</f>
        <v>W202 (no. 1 - 4)</v>
      </c>
      <c r="I40" s="87" t="str">
        <f>S29</f>
        <v>L201 (no. 5 - 8)</v>
      </c>
      <c r="J40" s="92"/>
      <c r="K40" s="93"/>
      <c r="L40" s="92"/>
      <c r="M40" s="93"/>
      <c r="N40" s="188">
        <f>SUM(J40,L40)</f>
        <v>0</v>
      </c>
      <c r="O40" s="189">
        <f>SUM(K40,M40)</f>
        <v>0</v>
      </c>
      <c r="P40" s="190">
        <f>SUM(T40,V40)</f>
        <v>2</v>
      </c>
      <c r="Q40" s="191">
        <f>SUM(U40,W40)</f>
        <v>2</v>
      </c>
      <c r="R40" s="40" t="str">
        <f>IF(P40&gt;Q40,G40,IF(P40&lt;Q40,H40,IF(N40&gt;O40,G40,IF(N40&lt;O40,H40,IF(X40&gt;Y40,G40,IF(X40&lt;Y40,H40,"W"&amp;F40&amp;" (no. 1 - 2)"))))))</f>
        <v>W402 (no. 1 - 2)</v>
      </c>
      <c r="S40" s="11" t="str">
        <f>IF(P40&gt;Q40,H40,IF(P40&lt;Q40,G40,IF(N40&gt;O40,H40,IF(N40&lt;O40,G40,IF(X40&gt;Y40,H40,IF(X40&lt;Y40,G40,"L"&amp;F40&amp;" (no. 3 - 4)"))))))</f>
        <v>L402 (no. 3 - 4)</v>
      </c>
      <c r="T40" s="51">
        <f>IF(J40&gt;K40,2,IF(J40=K40,1,0))</f>
        <v>1</v>
      </c>
      <c r="U40" s="53">
        <f>IF(K40&gt;J40,2,IF(K40=J40,1,0))</f>
        <v>1</v>
      </c>
      <c r="V40" s="51">
        <f>IF(L40&gt;M40,2,IF(L40=M40,1,0))</f>
        <v>1</v>
      </c>
      <c r="W40" s="53">
        <f>IF(M40&gt;L40,2,IF(M40=L40,1,0))</f>
        <v>1</v>
      </c>
      <c r="X40" s="40"/>
      <c r="Y40" s="11"/>
    </row>
    <row r="41" spans="2:25" ht="24.75" customHeight="1">
      <c r="B41" s="31"/>
      <c r="C41" s="84"/>
      <c r="D41" s="85"/>
      <c r="E41" s="159"/>
      <c r="F41" s="159"/>
      <c r="G41" s="160"/>
      <c r="H41" s="160"/>
      <c r="I41" s="161"/>
      <c r="J41" s="92"/>
      <c r="K41" s="93"/>
      <c r="L41" s="92"/>
      <c r="M41" s="93"/>
      <c r="N41" s="188"/>
      <c r="O41" s="189"/>
      <c r="P41" s="190"/>
      <c r="Q41" s="191"/>
      <c r="R41" s="40"/>
      <c r="S41" s="11"/>
      <c r="T41" s="51"/>
      <c r="U41" s="53"/>
      <c r="V41" s="51"/>
      <c r="W41" s="53"/>
      <c r="X41" s="40"/>
      <c r="Y41" s="11"/>
    </row>
    <row r="42" spans="2:25" ht="12.75">
      <c r="B42" s="31"/>
      <c r="C42" s="84"/>
      <c r="D42" s="85"/>
      <c r="E42" s="85"/>
      <c r="F42" s="85"/>
      <c r="G42" s="30"/>
      <c r="H42" s="30"/>
      <c r="I42" s="87"/>
      <c r="J42" s="92"/>
      <c r="K42" s="93"/>
      <c r="L42" s="92"/>
      <c r="M42" s="93"/>
      <c r="N42" s="169"/>
      <c r="O42" s="85"/>
      <c r="P42" s="99"/>
      <c r="Q42" s="100"/>
      <c r="R42" s="57"/>
      <c r="S42" s="15"/>
      <c r="T42" s="99"/>
      <c r="U42" s="100"/>
      <c r="V42" s="99"/>
      <c r="W42" s="100"/>
      <c r="X42" s="57"/>
      <c r="Y42" s="15"/>
    </row>
    <row r="43" spans="3:25" ht="12.75">
      <c r="C43" s="71"/>
      <c r="D43" s="25"/>
      <c r="E43" s="25"/>
      <c r="F43" s="25"/>
      <c r="G43" s="5"/>
      <c r="H43" s="5"/>
      <c r="I43" s="6"/>
      <c r="J43" s="71"/>
      <c r="K43" s="72"/>
      <c r="L43" s="71"/>
      <c r="M43" s="72"/>
      <c r="N43" s="71"/>
      <c r="O43" s="25"/>
      <c r="P43" s="71"/>
      <c r="Q43" s="72"/>
      <c r="R43" s="32"/>
      <c r="S43" s="6"/>
      <c r="T43" s="32"/>
      <c r="U43" s="6"/>
      <c r="V43" s="32"/>
      <c r="W43" s="6"/>
      <c r="X43" s="40"/>
      <c r="Y43" s="11"/>
    </row>
    <row r="44" spans="3:25" ht="12.75">
      <c r="C44" s="84">
        <f>$B$10+(D44-$B$11)*($B$12/60/24+TIME(0,5,0))</f>
        <v>0.4861111111111111</v>
      </c>
      <c r="D44" s="85">
        <f>$B$11+4</f>
        <v>5</v>
      </c>
      <c r="E44" s="85">
        <f>$B$9</f>
        <v>1</v>
      </c>
      <c r="F44" s="85">
        <f>$E44+$D44*100</f>
        <v>501</v>
      </c>
      <c r="G44" s="86" t="str">
        <f>S35</f>
        <v>L302 (no. 7 - 8)</v>
      </c>
      <c r="H44" s="86" t="str">
        <f>S33</f>
        <v>L301 (no. 7 - 8)</v>
      </c>
      <c r="I44" s="87" t="str">
        <f>R38</f>
        <v>W401 (no. 1 - 2)</v>
      </c>
      <c r="J44" s="88"/>
      <c r="K44" s="87"/>
      <c r="L44" s="88"/>
      <c r="M44" s="87"/>
      <c r="N44" s="188">
        <f>SUM(J44,L44)</f>
        <v>0</v>
      </c>
      <c r="O44" s="189">
        <f>SUM(K44,M44)</f>
        <v>0</v>
      </c>
      <c r="P44" s="190">
        <f>SUM(T44,V44)</f>
        <v>2</v>
      </c>
      <c r="Q44" s="191">
        <f>SUM(U44,W44)</f>
        <v>2</v>
      </c>
      <c r="R44" s="40" t="str">
        <f>IF(P44&gt;Q44,G44,IF(P44&lt;Q44,H44,IF(N44&gt;O44,G44,IF(N44&lt;O44,H44,IF(X44&gt;Y44,G44,IF(X44&lt;Y44,H44,"W"&amp;F44&amp;" (no. 7)"))))))</f>
        <v>W501 (no. 7)</v>
      </c>
      <c r="S44" s="11" t="str">
        <f>IF(P44&gt;Q44,H44,IF(P44&lt;Q44,G44,IF(N44&gt;O44,H44,IF(N44&lt;O44,G44,IF(X44&gt;Y44,H44,IF(X44&lt;Y44,G44,"L"&amp;F44&amp;" (no. 8)"))))))</f>
        <v>L501 (no. 8)</v>
      </c>
      <c r="T44" s="51">
        <f>IF(J44&gt;K44,2,IF(J44=K44,1,0))</f>
        <v>1</v>
      </c>
      <c r="U44" s="53">
        <f>IF(K44&gt;J44,2,IF(K44=J44,1,0))</f>
        <v>1</v>
      </c>
      <c r="V44" s="51">
        <f>IF(L44&gt;M44,2,IF(L44=M44,1,0))</f>
        <v>1</v>
      </c>
      <c r="W44" s="53">
        <f>IF(M44&gt;L44,2,IF(M44=L44,1,0))</f>
        <v>1</v>
      </c>
      <c r="X44" s="40"/>
      <c r="Y44" s="11"/>
    </row>
    <row r="45" spans="3:25" ht="24.75" customHeight="1">
      <c r="C45" s="84"/>
      <c r="D45" s="85"/>
      <c r="E45" s="159"/>
      <c r="F45" s="159"/>
      <c r="G45" s="187"/>
      <c r="H45" s="187"/>
      <c r="I45" s="161"/>
      <c r="J45" s="88"/>
      <c r="K45" s="87"/>
      <c r="L45" s="88"/>
      <c r="M45" s="87"/>
      <c r="N45" s="188"/>
      <c r="O45" s="189"/>
      <c r="P45" s="190"/>
      <c r="Q45" s="191"/>
      <c r="R45" s="40"/>
      <c r="S45" s="11"/>
      <c r="T45" s="51"/>
      <c r="U45" s="53"/>
      <c r="V45" s="51"/>
      <c r="W45" s="53"/>
      <c r="X45" s="40"/>
      <c r="Y45" s="11"/>
    </row>
    <row r="46" spans="3:25" ht="12.75">
      <c r="C46" s="84"/>
      <c r="D46" s="85">
        <f>$B$11+4</f>
        <v>5</v>
      </c>
      <c r="E46" s="85">
        <f>$B$9+1</f>
        <v>2</v>
      </c>
      <c r="F46" s="85">
        <f>$E46+$D46*100</f>
        <v>502</v>
      </c>
      <c r="G46" s="86" t="str">
        <f>R33</f>
        <v>W301 (no. 5 - 6)</v>
      </c>
      <c r="H46" s="86" t="str">
        <f>R35</f>
        <v>W302 (no. 5 - 6)</v>
      </c>
      <c r="I46" s="87" t="str">
        <f>R40</f>
        <v>W402 (no. 1 - 2)</v>
      </c>
      <c r="J46" s="88"/>
      <c r="K46" s="87"/>
      <c r="L46" s="88"/>
      <c r="M46" s="87"/>
      <c r="N46" s="188">
        <f>SUM(J46,L46)</f>
        <v>0</v>
      </c>
      <c r="O46" s="189">
        <f>SUM(K46,M46)</f>
        <v>0</v>
      </c>
      <c r="P46" s="190">
        <f>SUM(T46,V46)</f>
        <v>2</v>
      </c>
      <c r="Q46" s="191">
        <f>SUM(U46,W46)</f>
        <v>2</v>
      </c>
      <c r="R46" s="40" t="str">
        <f>IF(P46&gt;Q46,G46,IF(P46&lt;Q46,H46,IF(N46&gt;O46,G46,IF(N46&lt;O46,H46,IF(X46&gt;Y46,G46,IF(X46&lt;Y46,H46,"W"&amp;F46&amp;" (no. 5)"))))))</f>
        <v>W502 (no. 5)</v>
      </c>
      <c r="S46" s="11" t="str">
        <f>IF(P46&gt;Q46,H46,IF(P46&lt;Q46,G46,IF(N46&gt;O46,H46,IF(N46&lt;O46,G46,IF(X46&gt;Y46,H46,IF(X46&lt;Y46,G46,"L"&amp;F46&amp;" (no. 6)"))))))</f>
        <v>L502 (no. 6)</v>
      </c>
      <c r="T46" s="51">
        <f>IF(J46&gt;K46,2,IF(J46=K46,1,0))</f>
        <v>1</v>
      </c>
      <c r="U46" s="53">
        <f>IF(K46&gt;J46,2,IF(K46=J46,1,0))</f>
        <v>1</v>
      </c>
      <c r="V46" s="51">
        <f>IF(L46&gt;M46,2,IF(L46=M46,1,0))</f>
        <v>1</v>
      </c>
      <c r="W46" s="53">
        <f>IF(M46&gt;L46,2,IF(M46=L46,1,0))</f>
        <v>1</v>
      </c>
      <c r="X46" s="40"/>
      <c r="Y46" s="11"/>
    </row>
    <row r="47" spans="3:25" ht="24.75" customHeight="1">
      <c r="C47" s="84"/>
      <c r="D47" s="85"/>
      <c r="E47" s="159"/>
      <c r="F47" s="159"/>
      <c r="G47" s="187"/>
      <c r="H47" s="187"/>
      <c r="I47" s="161"/>
      <c r="J47" s="88"/>
      <c r="K47" s="87"/>
      <c r="L47" s="88"/>
      <c r="M47" s="87"/>
      <c r="N47" s="188"/>
      <c r="O47" s="189"/>
      <c r="P47" s="190"/>
      <c r="Q47" s="191"/>
      <c r="R47" s="40"/>
      <c r="S47" s="11"/>
      <c r="T47" s="51"/>
      <c r="U47" s="53"/>
      <c r="V47" s="51"/>
      <c r="W47" s="53"/>
      <c r="X47" s="40"/>
      <c r="Y47" s="11"/>
    </row>
    <row r="48" spans="3:25" ht="12.75">
      <c r="C48" s="84"/>
      <c r="D48" s="85"/>
      <c r="E48" s="85"/>
      <c r="F48" s="85"/>
      <c r="G48" s="86"/>
      <c r="H48" s="86"/>
      <c r="I48" s="87"/>
      <c r="J48" s="88"/>
      <c r="K48" s="87"/>
      <c r="L48" s="88"/>
      <c r="M48" s="87"/>
      <c r="N48" s="169"/>
      <c r="O48" s="85"/>
      <c r="P48" s="99"/>
      <c r="Q48" s="100"/>
      <c r="R48" s="40"/>
      <c r="S48" s="11"/>
      <c r="T48" s="51"/>
      <c r="U48" s="53"/>
      <c r="V48" s="51"/>
      <c r="W48" s="53"/>
      <c r="X48" s="40"/>
      <c r="Y48" s="11"/>
    </row>
    <row r="49" spans="3:25" ht="12.75">
      <c r="C49" s="84">
        <f>$B$10+(D49-$B$11)*($B$12/60/24+TIME(0,5,0))</f>
        <v>0.5138888888888888</v>
      </c>
      <c r="D49" s="201">
        <f>$B$11+5</f>
        <v>6</v>
      </c>
      <c r="E49" s="102"/>
      <c r="F49" s="258" t="s">
        <v>98</v>
      </c>
      <c r="G49" s="258"/>
      <c r="H49" s="258"/>
      <c r="I49" s="259"/>
      <c r="J49" s="88"/>
      <c r="K49" s="87"/>
      <c r="L49" s="88"/>
      <c r="M49" s="87"/>
      <c r="N49" s="169"/>
      <c r="O49" s="85"/>
      <c r="P49" s="99"/>
      <c r="Q49" s="100"/>
      <c r="R49" s="40"/>
      <c r="S49" s="11"/>
      <c r="T49" s="51"/>
      <c r="U49" s="53"/>
      <c r="V49" s="51"/>
      <c r="W49" s="53"/>
      <c r="X49" s="40"/>
      <c r="Y49" s="11"/>
    </row>
    <row r="50" spans="3:25" ht="12.75">
      <c r="C50" s="84"/>
      <c r="D50" s="85"/>
      <c r="E50" s="102"/>
      <c r="F50" s="258" t="s">
        <v>97</v>
      </c>
      <c r="G50" s="258"/>
      <c r="H50" s="258"/>
      <c r="I50" s="259"/>
      <c r="J50" s="88"/>
      <c r="K50" s="87"/>
      <c r="L50" s="88"/>
      <c r="M50" s="87"/>
      <c r="N50" s="169"/>
      <c r="O50" s="85"/>
      <c r="P50" s="99"/>
      <c r="Q50" s="100"/>
      <c r="R50" s="40"/>
      <c r="S50" s="11"/>
      <c r="T50" s="51"/>
      <c r="U50" s="53"/>
      <c r="V50" s="51"/>
      <c r="W50" s="53"/>
      <c r="X50" s="40"/>
      <c r="Y50" s="11"/>
    </row>
    <row r="51" spans="2:25" ht="12.75">
      <c r="B51" s="31"/>
      <c r="C51" s="84"/>
      <c r="D51" s="85"/>
      <c r="E51" s="85"/>
      <c r="F51" s="85"/>
      <c r="G51" s="30"/>
      <c r="H51" s="30"/>
      <c r="I51" s="87"/>
      <c r="J51" s="92"/>
      <c r="K51" s="93"/>
      <c r="L51" s="92"/>
      <c r="M51" s="93"/>
      <c r="N51" s="89"/>
      <c r="O51" s="90"/>
      <c r="P51" s="99"/>
      <c r="Q51" s="100"/>
      <c r="R51" s="57"/>
      <c r="S51" s="15"/>
      <c r="T51" s="99"/>
      <c r="U51" s="100"/>
      <c r="V51" s="99"/>
      <c r="W51" s="100"/>
      <c r="X51" s="40"/>
      <c r="Y51" s="11"/>
    </row>
    <row r="52" spans="3:39" ht="12.75">
      <c r="C52" s="32"/>
      <c r="D52" s="5"/>
      <c r="E52" s="5"/>
      <c r="F52" s="5"/>
      <c r="G52" s="5"/>
      <c r="H52" s="5"/>
      <c r="I52" s="6"/>
      <c r="J52" s="249" t="s">
        <v>39</v>
      </c>
      <c r="K52" s="250"/>
      <c r="L52" s="249" t="s">
        <v>40</v>
      </c>
      <c r="M52" s="250"/>
      <c r="N52" s="249" t="s">
        <v>41</v>
      </c>
      <c r="O52" s="250"/>
      <c r="P52" s="249" t="s">
        <v>31</v>
      </c>
      <c r="Q52" s="250"/>
      <c r="R52" s="32"/>
      <c r="S52" s="6"/>
      <c r="T52" s="249" t="s">
        <v>39</v>
      </c>
      <c r="U52" s="250"/>
      <c r="V52" s="249" t="s">
        <v>40</v>
      </c>
      <c r="W52" s="250"/>
      <c r="X52" s="249" t="s">
        <v>41</v>
      </c>
      <c r="Y52" s="250"/>
      <c r="Z52" s="249" t="s">
        <v>42</v>
      </c>
      <c r="AA52" s="250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2:27" ht="12.75">
      <c r="B53" s="31"/>
      <c r="C53" s="73" t="s">
        <v>18</v>
      </c>
      <c r="D53" s="74" t="s">
        <v>43</v>
      </c>
      <c r="E53" s="74" t="s">
        <v>17</v>
      </c>
      <c r="F53" s="75" t="s">
        <v>44</v>
      </c>
      <c r="G53" s="76" t="s">
        <v>45</v>
      </c>
      <c r="H53" s="77" t="s">
        <v>46</v>
      </c>
      <c r="I53" s="78" t="s">
        <v>47</v>
      </c>
      <c r="J53" s="79" t="s">
        <v>48</v>
      </c>
      <c r="K53" s="80" t="s">
        <v>49</v>
      </c>
      <c r="L53" s="79" t="s">
        <v>48</v>
      </c>
      <c r="M53" s="80" t="s">
        <v>49</v>
      </c>
      <c r="N53" s="79" t="s">
        <v>48</v>
      </c>
      <c r="O53" s="80" t="s">
        <v>49</v>
      </c>
      <c r="P53" s="79" t="s">
        <v>48</v>
      </c>
      <c r="Q53" s="80" t="s">
        <v>49</v>
      </c>
      <c r="R53" s="57" t="s">
        <v>79</v>
      </c>
      <c r="S53" s="15" t="s">
        <v>80</v>
      </c>
      <c r="T53" s="79" t="s">
        <v>48</v>
      </c>
      <c r="U53" s="80" t="s">
        <v>49</v>
      </c>
      <c r="V53" s="79" t="s">
        <v>48</v>
      </c>
      <c r="W53" s="80" t="s">
        <v>49</v>
      </c>
      <c r="X53" s="79" t="s">
        <v>48</v>
      </c>
      <c r="Y53" s="80" t="s">
        <v>49</v>
      </c>
      <c r="Z53" s="79" t="s">
        <v>48</v>
      </c>
      <c r="AA53" s="80" t="s">
        <v>49</v>
      </c>
    </row>
    <row r="54" spans="1:27" ht="12.75">
      <c r="A54" s="18" t="s">
        <v>70</v>
      </c>
      <c r="B54" s="18" t="s">
        <v>71</v>
      </c>
      <c r="C54" s="84"/>
      <c r="D54" s="85"/>
      <c r="E54" s="85"/>
      <c r="F54" s="85"/>
      <c r="G54" s="30"/>
      <c r="H54" s="30"/>
      <c r="I54" s="87"/>
      <c r="J54" s="92"/>
      <c r="K54" s="93"/>
      <c r="L54" s="92"/>
      <c r="M54" s="93"/>
      <c r="N54" s="89"/>
      <c r="O54" s="90"/>
      <c r="P54" s="99"/>
      <c r="Q54" s="100"/>
      <c r="R54" s="40"/>
      <c r="S54" s="11"/>
      <c r="T54" s="99"/>
      <c r="U54" s="100"/>
      <c r="V54" s="99"/>
      <c r="W54" s="100"/>
      <c r="X54" s="99"/>
      <c r="Y54" s="100"/>
      <c r="Z54" s="92"/>
      <c r="AA54" s="93"/>
    </row>
    <row r="55" spans="1:27" ht="12.75">
      <c r="A55" s="147">
        <v>0.5208333333333334</v>
      </c>
      <c r="B55" s="143">
        <v>1</v>
      </c>
      <c r="C55" s="153">
        <f>$A$55</f>
        <v>0.5208333333333334</v>
      </c>
      <c r="D55" s="145">
        <f>$B$11+5</f>
        <v>6</v>
      </c>
      <c r="E55" s="145">
        <f>$B$55</f>
        <v>1</v>
      </c>
      <c r="F55" s="145">
        <f>$E55+$D55*100</f>
        <v>601</v>
      </c>
      <c r="G55" s="148" t="str">
        <f>S40</f>
        <v>L402 (no. 3 - 4)</v>
      </c>
      <c r="H55" s="148" t="str">
        <f>S38</f>
        <v>L401 (no. 3 - 4)</v>
      </c>
      <c r="I55" s="149" t="str">
        <f>"Official / "&amp;R40</f>
        <v>Official / W402 (no. 1 - 2)</v>
      </c>
      <c r="J55" s="88"/>
      <c r="K55" s="87"/>
      <c r="L55" s="88"/>
      <c r="M55" s="87"/>
      <c r="N55" s="89">
        <f>IF(OR(T55+V55=2,U55+W55=2),"---","")</f>
      </c>
      <c r="O55" s="90">
        <f>IF(OR(T55+V55=2,U55+W55=2),"---","")</f>
      </c>
      <c r="P55" s="199">
        <f>IF(AND(Z55=2,AA55=0),3,Z55)</f>
        <v>0</v>
      </c>
      <c r="Q55" s="200">
        <f>IF(AND(AA55=2,Z55=0),3,AA55)</f>
        <v>0</v>
      </c>
      <c r="R55" s="40" t="str">
        <f>IF(P55&gt;Q55,G55,IF(P55&lt;Q55,H55,"W"&amp;F55&amp;" (no. 3)"))</f>
        <v>W601 (no. 3)</v>
      </c>
      <c r="S55" s="11" t="str">
        <f>IF(P55&gt;Q55,H55,IF(P55&lt;Q55,G55,"L"&amp;F55&amp;" (no. 4)"))</f>
        <v>L601 (no. 4)</v>
      </c>
      <c r="T55" s="51">
        <f>IF(J55&gt;K55,1,0)</f>
        <v>0</v>
      </c>
      <c r="U55" s="53">
        <f>IF(K55&gt;J55,1,0)</f>
        <v>0</v>
      </c>
      <c r="V55" s="51">
        <f>IF(L55&gt;M55,1,0)</f>
        <v>0</v>
      </c>
      <c r="W55" s="53">
        <f>IF(M55&gt;L55,1,0)</f>
        <v>0</v>
      </c>
      <c r="X55" s="51">
        <f>IF(N55&gt;O55,1,0)</f>
        <v>0</v>
      </c>
      <c r="Y55" s="53">
        <f>IF(O55&gt;N55,1,0)</f>
        <v>0</v>
      </c>
      <c r="Z55" s="54">
        <f>SUM(T55,V55,X55)</f>
        <v>0</v>
      </c>
      <c r="AA55" s="91">
        <f>SUM(U55,W55,Y55)</f>
        <v>0</v>
      </c>
    </row>
    <row r="56" spans="1:27" ht="24.75" customHeight="1">
      <c r="A56" s="147"/>
      <c r="B56" s="143"/>
      <c r="C56" s="153"/>
      <c r="D56" s="145"/>
      <c r="E56" s="234"/>
      <c r="F56" s="234"/>
      <c r="G56" s="237"/>
      <c r="H56" s="237"/>
      <c r="I56" s="149"/>
      <c r="J56" s="88"/>
      <c r="K56" s="87"/>
      <c r="L56" s="88"/>
      <c r="M56" s="87"/>
      <c r="N56" s="89"/>
      <c r="O56" s="90"/>
      <c r="P56" s="199"/>
      <c r="Q56" s="200"/>
      <c r="R56" s="40"/>
      <c r="S56" s="11"/>
      <c r="T56" s="51"/>
      <c r="U56" s="53"/>
      <c r="V56" s="51"/>
      <c r="W56" s="53"/>
      <c r="X56" s="51"/>
      <c r="Y56" s="53"/>
      <c r="Z56" s="54"/>
      <c r="AA56" s="91"/>
    </row>
    <row r="57" spans="1:27" ht="12.75">
      <c r="A57" s="143"/>
      <c r="B57" s="142"/>
      <c r="C57" s="84"/>
      <c r="D57" s="145"/>
      <c r="E57" s="145"/>
      <c r="F57" s="145"/>
      <c r="G57" s="150"/>
      <c r="H57" s="150"/>
      <c r="I57" s="151"/>
      <c r="J57" s="40"/>
      <c r="K57" s="11"/>
      <c r="L57" s="40"/>
      <c r="M57" s="11"/>
      <c r="N57" s="89">
        <f>IF(OR(T57+V57=2,U57+W57=2),"---","")</f>
      </c>
      <c r="O57" s="90">
        <f>IF(OR(T57+V57=2,U57+W57=2),"---","")</f>
      </c>
      <c r="P57" s="199"/>
      <c r="Q57" s="200"/>
      <c r="R57" s="40"/>
      <c r="S57" s="11"/>
      <c r="T57" s="51"/>
      <c r="U57" s="53"/>
      <c r="V57" s="51"/>
      <c r="W57" s="53"/>
      <c r="X57" s="51"/>
      <c r="Y57" s="53"/>
      <c r="Z57" s="54"/>
      <c r="AA57" s="91"/>
    </row>
    <row r="58" spans="1:27" ht="12.75">
      <c r="A58" s="143"/>
      <c r="B58" s="142"/>
      <c r="C58" s="84">
        <f>C55+75/60/24</f>
        <v>0.5729166666666667</v>
      </c>
      <c r="D58" s="145">
        <f>$B$11+7</f>
        <v>8</v>
      </c>
      <c r="E58" s="145">
        <f>$B$55</f>
        <v>1</v>
      </c>
      <c r="F58" s="145">
        <f>$E58+$D58*100</f>
        <v>801</v>
      </c>
      <c r="G58" s="144" t="str">
        <f>R38</f>
        <v>W401 (no. 1 - 2)</v>
      </c>
      <c r="H58" s="144" t="str">
        <f>R40</f>
        <v>W402 (no. 1 - 2)</v>
      </c>
      <c r="I58" s="151" t="str">
        <f>"Official / "&amp;R55</f>
        <v>Official / W601 (no. 3)</v>
      </c>
      <c r="J58" s="96"/>
      <c r="K58" s="94"/>
      <c r="L58" s="96"/>
      <c r="M58" s="94"/>
      <c r="N58" s="89">
        <f>IF(OR(T58+V58=2,U58+W58=2),"---","")</f>
      </c>
      <c r="O58" s="90">
        <f>IF(OR(T58+V58=2,U58+W58=2),"---","")</f>
      </c>
      <c r="P58" s="199">
        <f>IF(AND(Z58=2,AA58=0),3,Z58)</f>
        <v>0</v>
      </c>
      <c r="Q58" s="200">
        <f>IF(AND(AA58=2,Z58=0),3,AA58)</f>
        <v>0</v>
      </c>
      <c r="R58" s="40" t="str">
        <f>IF(P58&gt;Q58,G58,IF(P58&lt;Q58,H58,"W"&amp;F58&amp;" (no. 1)"))</f>
        <v>W801 (no. 1)</v>
      </c>
      <c r="S58" s="11" t="str">
        <f>IF(P58&gt;Q58,H58,IF(P58&lt;Q58,G58,"L"&amp;F58&amp;" (no. 2)"))</f>
        <v>L801 (no. 2)</v>
      </c>
      <c r="T58" s="51">
        <f>IF(J58&gt;K58,1,0)</f>
        <v>0</v>
      </c>
      <c r="U58" s="53">
        <f>IF(K58&gt;J58,1,0)</f>
        <v>0</v>
      </c>
      <c r="V58" s="51">
        <f>IF(L58&gt;M58,1,0)</f>
        <v>0</v>
      </c>
      <c r="W58" s="53">
        <f>IF(M58&gt;L58,1,0)</f>
        <v>0</v>
      </c>
      <c r="X58" s="51">
        <f>IF(N58&gt;O58,1,0)</f>
        <v>0</v>
      </c>
      <c r="Y58" s="53">
        <f>IF(O58&gt;N58,1,0)</f>
        <v>0</v>
      </c>
      <c r="Z58" s="54">
        <f>SUM(T58,V58,X58)</f>
        <v>0</v>
      </c>
      <c r="AA58" s="91">
        <f>SUM(U58,W58,Y58)</f>
        <v>0</v>
      </c>
    </row>
    <row r="59" spans="1:27" ht="24.75" customHeight="1">
      <c r="A59" s="143"/>
      <c r="B59" s="142"/>
      <c r="C59" s="84"/>
      <c r="D59" s="145"/>
      <c r="E59" s="234"/>
      <c r="F59" s="234"/>
      <c r="G59" s="235"/>
      <c r="H59" s="235"/>
      <c r="I59" s="151"/>
      <c r="J59" s="96"/>
      <c r="K59" s="94"/>
      <c r="L59" s="96"/>
      <c r="M59" s="94"/>
      <c r="N59" s="89"/>
      <c r="O59" s="90"/>
      <c r="P59" s="199"/>
      <c r="Q59" s="200"/>
      <c r="R59" s="40"/>
      <c r="S59" s="11"/>
      <c r="T59" s="51"/>
      <c r="U59" s="53"/>
      <c r="V59" s="51"/>
      <c r="W59" s="53"/>
      <c r="X59" s="51"/>
      <c r="Y59" s="53"/>
      <c r="Z59" s="54"/>
      <c r="AA59" s="91"/>
    </row>
    <row r="60" spans="1:27" ht="12.75">
      <c r="A60" s="143"/>
      <c r="B60" s="142"/>
      <c r="C60" s="84"/>
      <c r="D60" s="145"/>
      <c r="E60" s="145"/>
      <c r="F60" s="145"/>
      <c r="G60" s="144"/>
      <c r="H60" s="144"/>
      <c r="I60" s="151"/>
      <c r="J60" s="97"/>
      <c r="K60" s="98"/>
      <c r="L60" s="97"/>
      <c r="M60" s="98"/>
      <c r="N60" s="89">
        <f>IF(OR(T60+V60=2,U60+W60=2),"---","")</f>
      </c>
      <c r="O60" s="90">
        <f>IF(OR(T60+V60=2,U60+W60=2),"---","")</f>
      </c>
      <c r="P60" s="99"/>
      <c r="Q60" s="100"/>
      <c r="R60" s="40"/>
      <c r="S60" s="11"/>
      <c r="T60" s="101"/>
      <c r="U60" s="11"/>
      <c r="V60" s="40"/>
      <c r="W60" s="11"/>
      <c r="X60" s="40"/>
      <c r="Y60" s="11"/>
      <c r="Z60" s="40"/>
      <c r="AA60" s="11"/>
    </row>
    <row r="61" spans="1:27" ht="12.75" customHeight="1">
      <c r="A61" s="143"/>
      <c r="B61" s="70"/>
      <c r="C61" s="84">
        <f>C58+75/60/24</f>
        <v>0.6250000000000001</v>
      </c>
      <c r="D61" s="145"/>
      <c r="E61" s="154"/>
      <c r="F61" s="143"/>
      <c r="G61" s="251" t="str">
        <f>"Price ceremony on court 2."</f>
        <v>Price ceremony on court 2.</v>
      </c>
      <c r="H61" s="251"/>
      <c r="I61" s="155"/>
      <c r="J61" s="97"/>
      <c r="K61" s="98"/>
      <c r="L61" s="97"/>
      <c r="M61" s="98"/>
      <c r="N61" s="89">
        <f>IF(OR(T61+V61=2,U61+W61=2),"---","")</f>
      </c>
      <c r="O61" s="90">
        <f>IF(OR(T61+V61=2,U61+W61=2),"---","")</f>
      </c>
      <c r="P61" s="99"/>
      <c r="Q61" s="100"/>
      <c r="R61" s="40"/>
      <c r="S61" s="11"/>
      <c r="T61" s="40"/>
      <c r="U61" s="11"/>
      <c r="V61" s="40"/>
      <c r="W61" s="11"/>
      <c r="X61" s="40"/>
      <c r="Y61" s="11"/>
      <c r="Z61" s="40"/>
      <c r="AA61" s="11"/>
    </row>
    <row r="62" spans="2:27" ht="12.75">
      <c r="B62" s="31"/>
      <c r="C62" s="73"/>
      <c r="D62" s="14"/>
      <c r="E62" s="14"/>
      <c r="F62" s="14"/>
      <c r="G62" s="14"/>
      <c r="H62" s="14"/>
      <c r="I62" s="15"/>
      <c r="J62" s="57"/>
      <c r="K62" s="15"/>
      <c r="L62" s="57"/>
      <c r="M62" s="15"/>
      <c r="N62" s="104"/>
      <c r="O62" s="58"/>
      <c r="P62" s="57"/>
      <c r="Q62" s="15"/>
      <c r="R62" s="57"/>
      <c r="S62" s="15"/>
      <c r="T62" s="57"/>
      <c r="U62" s="15"/>
      <c r="V62" s="57"/>
      <c r="W62" s="15"/>
      <c r="X62" s="57"/>
      <c r="Y62" s="15"/>
      <c r="Z62" s="57"/>
      <c r="AA62" s="15"/>
    </row>
    <row r="63" spans="2:17" ht="12.75">
      <c r="B63" s="31"/>
      <c r="C63" s="105"/>
      <c r="D63" s="85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ht="12.75">
      <c r="B64" s="31"/>
    </row>
    <row r="65" spans="2:9" ht="12.75" customHeight="1">
      <c r="B65" s="31"/>
      <c r="C65" s="252" t="str">
        <f>$B$4&amp;" "&amp;$B$5</f>
        <v>Men B</v>
      </c>
      <c r="D65" s="253"/>
      <c r="E65" s="254"/>
      <c r="F65" s="32"/>
      <c r="G65" s="5"/>
      <c r="H65" s="5"/>
      <c r="I65" s="6"/>
    </row>
    <row r="66" spans="2:9" ht="12.75" customHeight="1">
      <c r="B66" s="31" t="s">
        <v>87</v>
      </c>
      <c r="C66" s="255"/>
      <c r="D66" s="256"/>
      <c r="E66" s="257"/>
      <c r="F66" s="97" t="s">
        <v>32</v>
      </c>
      <c r="G66" s="10" t="str">
        <f>$G$12</f>
        <v>Team</v>
      </c>
      <c r="H66" s="10" t="str">
        <f>$H$12</f>
        <v>City</v>
      </c>
      <c r="I66" s="11" t="str">
        <f>$I$12</f>
        <v>Country</v>
      </c>
    </row>
    <row r="67" spans="2:9" ht="12.75">
      <c r="B67" s="146">
        <v>1</v>
      </c>
      <c r="C67" s="32"/>
      <c r="D67" s="25" t="s">
        <v>64</v>
      </c>
      <c r="E67" s="136">
        <f>$B$67</f>
        <v>1</v>
      </c>
      <c r="F67" s="71" t="str">
        <f>$B$6&amp;E67</f>
        <v>BA1</v>
      </c>
      <c r="G67" s="5" t="str">
        <f>R58</f>
        <v>W801 (no. 1)</v>
      </c>
      <c r="H67" s="5" t="e">
        <f aca="true" t="shared" si="0" ref="H67:H74">VLOOKUP(G67,$G$13:$I$20,2,FALSE)</f>
        <v>#N/A</v>
      </c>
      <c r="I67" s="6" t="e">
        <f aca="true" t="shared" si="1" ref="I67:I74">VLOOKUP(G67,$G$13:$I$20,3,FALSE)</f>
        <v>#N/A</v>
      </c>
    </row>
    <row r="68" spans="2:9" ht="12.75">
      <c r="B68" s="31"/>
      <c r="C68" s="40"/>
      <c r="D68" s="41" t="s">
        <v>65</v>
      </c>
      <c r="E68" s="137">
        <f aca="true" t="shared" si="2" ref="E68:E74">E67+1</f>
        <v>2</v>
      </c>
      <c r="F68" s="97" t="str">
        <f aca="true" t="shared" si="3" ref="F68:F74">$B$6&amp;E68</f>
        <v>BA2</v>
      </c>
      <c r="G68" s="10" t="str">
        <f>S58</f>
        <v>L801 (no. 2)</v>
      </c>
      <c r="H68" s="10" t="e">
        <f t="shared" si="0"/>
        <v>#N/A</v>
      </c>
      <c r="I68" s="11" t="e">
        <f t="shared" si="1"/>
        <v>#N/A</v>
      </c>
    </row>
    <row r="69" spans="2:9" ht="12.75">
      <c r="B69" s="31"/>
      <c r="C69" s="40"/>
      <c r="D69" s="41" t="s">
        <v>66</v>
      </c>
      <c r="E69" s="137">
        <f t="shared" si="2"/>
        <v>3</v>
      </c>
      <c r="F69" s="97" t="str">
        <f t="shared" si="3"/>
        <v>BA3</v>
      </c>
      <c r="G69" s="10" t="str">
        <f>R55</f>
        <v>W601 (no. 3)</v>
      </c>
      <c r="H69" s="10" t="e">
        <f t="shared" si="0"/>
        <v>#N/A</v>
      </c>
      <c r="I69" s="11" t="e">
        <f t="shared" si="1"/>
        <v>#N/A</v>
      </c>
    </row>
    <row r="70" spans="2:9" ht="12.75">
      <c r="B70" s="31"/>
      <c r="C70" s="40"/>
      <c r="D70" s="41"/>
      <c r="E70" s="137">
        <f t="shared" si="2"/>
        <v>4</v>
      </c>
      <c r="F70" s="97" t="str">
        <f t="shared" si="3"/>
        <v>BA4</v>
      </c>
      <c r="G70" s="10" t="str">
        <f>S55</f>
        <v>L601 (no. 4)</v>
      </c>
      <c r="H70" s="10" t="e">
        <f t="shared" si="0"/>
        <v>#N/A</v>
      </c>
      <c r="I70" s="11" t="e">
        <f t="shared" si="1"/>
        <v>#N/A</v>
      </c>
    </row>
    <row r="71" spans="2:9" ht="12.75">
      <c r="B71" s="31"/>
      <c r="C71" s="40"/>
      <c r="D71" s="41"/>
      <c r="E71" s="137">
        <f t="shared" si="2"/>
        <v>5</v>
      </c>
      <c r="F71" s="97" t="str">
        <f t="shared" si="3"/>
        <v>BA5</v>
      </c>
      <c r="G71" s="10" t="str">
        <f>R46</f>
        <v>W502 (no. 5)</v>
      </c>
      <c r="H71" s="10" t="e">
        <f t="shared" si="0"/>
        <v>#N/A</v>
      </c>
      <c r="I71" s="11" t="e">
        <f t="shared" si="1"/>
        <v>#N/A</v>
      </c>
    </row>
    <row r="72" spans="2:9" ht="12.75">
      <c r="B72" s="31"/>
      <c r="C72" s="40"/>
      <c r="D72" s="41"/>
      <c r="E72" s="137">
        <f t="shared" si="2"/>
        <v>6</v>
      </c>
      <c r="F72" s="97" t="str">
        <f t="shared" si="3"/>
        <v>BA6</v>
      </c>
      <c r="G72" s="10" t="str">
        <f>S46</f>
        <v>L502 (no. 6)</v>
      </c>
      <c r="H72" s="10" t="e">
        <f t="shared" si="0"/>
        <v>#N/A</v>
      </c>
      <c r="I72" s="11" t="e">
        <f t="shared" si="1"/>
        <v>#N/A</v>
      </c>
    </row>
    <row r="73" spans="2:9" ht="12.75">
      <c r="B73" s="31"/>
      <c r="C73" s="40"/>
      <c r="D73" s="41"/>
      <c r="E73" s="137">
        <f t="shared" si="2"/>
        <v>7</v>
      </c>
      <c r="F73" s="97" t="str">
        <f t="shared" si="3"/>
        <v>BA7</v>
      </c>
      <c r="G73" s="10" t="str">
        <f>R44</f>
        <v>W501 (no. 7)</v>
      </c>
      <c r="H73" s="10" t="e">
        <f t="shared" si="0"/>
        <v>#N/A</v>
      </c>
      <c r="I73" s="11" t="e">
        <f t="shared" si="1"/>
        <v>#N/A</v>
      </c>
    </row>
    <row r="74" spans="2:9" ht="12.75">
      <c r="B74" s="31"/>
      <c r="C74" s="57"/>
      <c r="D74" s="27"/>
      <c r="E74" s="138">
        <f t="shared" si="2"/>
        <v>8</v>
      </c>
      <c r="F74" s="73" t="str">
        <f t="shared" si="3"/>
        <v>BA8</v>
      </c>
      <c r="G74" s="14" t="str">
        <f>S44</f>
        <v>L501 (no. 8)</v>
      </c>
      <c r="H74" s="14" t="e">
        <f t="shared" si="0"/>
        <v>#N/A</v>
      </c>
      <c r="I74" s="15" t="e">
        <f t="shared" si="1"/>
        <v>#N/A</v>
      </c>
    </row>
    <row r="75" ht="12.75">
      <c r="B75" s="31"/>
    </row>
  </sheetData>
  <mergeCells count="22">
    <mergeCell ref="X52:Y52"/>
    <mergeCell ref="Z52:AA52"/>
    <mergeCell ref="G61:H61"/>
    <mergeCell ref="X23:Y23"/>
    <mergeCell ref="N52:O52"/>
    <mergeCell ref="P52:Q52"/>
    <mergeCell ref="T52:U52"/>
    <mergeCell ref="V52:W52"/>
    <mergeCell ref="N23:O23"/>
    <mergeCell ref="P23:Q23"/>
    <mergeCell ref="C65:E66"/>
    <mergeCell ref="J23:K23"/>
    <mergeCell ref="L23:M23"/>
    <mergeCell ref="J52:K52"/>
    <mergeCell ref="L52:M52"/>
    <mergeCell ref="F49:I49"/>
    <mergeCell ref="F50:I50"/>
    <mergeCell ref="C4:F6"/>
    <mergeCell ref="C7:F8"/>
    <mergeCell ref="T23:U23"/>
    <mergeCell ref="V23:W23"/>
    <mergeCell ref="C11:F12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63" min="2" max="18" man="1"/>
  </rowBreaks>
  <colBreaks count="1" manualBreakCount="1">
    <brk id="17" min="3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M44"/>
  <sheetViews>
    <sheetView zoomScale="75" zoomScaleNormal="75" workbookViewId="0" topLeftCell="A1">
      <selection activeCell="G16" sqref="G16:I16"/>
    </sheetView>
  </sheetViews>
  <sheetFormatPr defaultColWidth="9.140625" defaultRowHeight="12.75"/>
  <cols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9" width="20.7109375" style="0" customWidth="1"/>
    <col min="10" max="17" width="4.7109375" style="0" customWidth="1"/>
    <col min="18" max="19" width="20.7109375" style="0" customWidth="1"/>
    <col min="20" max="25" width="4.7109375" style="0" customWidth="1"/>
    <col min="26" max="27" width="9.7109375" style="0" customWidth="1"/>
    <col min="28" max="29" width="4.7109375" style="0" customWidth="1"/>
  </cols>
  <sheetData>
    <row r="1" spans="1:25" ht="12.75">
      <c r="A1" s="1" t="s">
        <v>0</v>
      </c>
      <c r="B1" s="2"/>
      <c r="C1" s="3" t="s">
        <v>1</v>
      </c>
      <c r="D1" s="3"/>
      <c r="E1" s="3" t="s">
        <v>2</v>
      </c>
      <c r="F1" s="3"/>
      <c r="G1" s="3"/>
      <c r="H1" s="3"/>
      <c r="J1" s="1" t="s">
        <v>0</v>
      </c>
      <c r="K1" s="4"/>
      <c r="L1" s="4"/>
      <c r="M1" s="4"/>
      <c r="N1" s="4"/>
      <c r="O1" s="4" t="s">
        <v>3</v>
      </c>
      <c r="P1" s="4"/>
      <c r="Q1" s="4"/>
      <c r="R1" s="5"/>
      <c r="S1" s="5"/>
      <c r="T1" s="5"/>
      <c r="U1" s="5"/>
      <c r="V1" s="5"/>
      <c r="W1" s="5"/>
      <c r="X1" s="5"/>
      <c r="Y1" s="6"/>
    </row>
    <row r="2" spans="1:25" ht="12.75">
      <c r="A2" s="7" t="s">
        <v>4</v>
      </c>
      <c r="B2" s="8"/>
      <c r="C2" s="3"/>
      <c r="D2" s="3"/>
      <c r="E2" s="3" t="s">
        <v>5</v>
      </c>
      <c r="F2" s="3"/>
      <c r="G2" s="3"/>
      <c r="H2" s="3"/>
      <c r="J2" s="7" t="s">
        <v>4</v>
      </c>
      <c r="K2" s="9"/>
      <c r="L2" s="9"/>
      <c r="M2" s="9"/>
      <c r="N2" s="9"/>
      <c r="O2" s="9" t="s">
        <v>6</v>
      </c>
      <c r="P2" s="9"/>
      <c r="Q2" s="9"/>
      <c r="R2" s="10"/>
      <c r="S2" s="10"/>
      <c r="T2" s="10"/>
      <c r="U2" s="10"/>
      <c r="V2" s="10"/>
      <c r="W2" s="10"/>
      <c r="X2" s="10"/>
      <c r="Y2" s="11"/>
    </row>
    <row r="3" spans="1:25" ht="13.5" thickBot="1">
      <c r="A3" s="12" t="s">
        <v>7</v>
      </c>
      <c r="B3" s="13"/>
      <c r="C3" s="3"/>
      <c r="D3" s="3"/>
      <c r="E3" s="3" t="s">
        <v>8</v>
      </c>
      <c r="F3" s="3"/>
      <c r="G3" s="3"/>
      <c r="H3" s="3"/>
      <c r="J3" s="7" t="s">
        <v>7</v>
      </c>
      <c r="K3" s="9"/>
      <c r="L3" s="9"/>
      <c r="M3" s="9"/>
      <c r="N3" s="9"/>
      <c r="O3" s="9" t="s">
        <v>9</v>
      </c>
      <c r="P3" s="9"/>
      <c r="Q3" s="9"/>
      <c r="R3" s="14"/>
      <c r="S3" s="14"/>
      <c r="T3" s="14"/>
      <c r="U3" s="14"/>
      <c r="V3" s="14"/>
      <c r="W3" s="14"/>
      <c r="X3" s="14"/>
      <c r="Y3" s="15"/>
    </row>
    <row r="4" spans="1:17" ht="12.75">
      <c r="A4" t="s">
        <v>10</v>
      </c>
      <c r="B4" s="16" t="s">
        <v>72</v>
      </c>
      <c r="C4" s="260" t="str">
        <f>$B$4&amp;" "&amp;$B$5</f>
        <v>Men B</v>
      </c>
      <c r="D4" s="261"/>
      <c r="E4" s="261"/>
      <c r="F4" s="262"/>
      <c r="G4" s="5"/>
      <c r="H4" s="17" t="str">
        <f>$A$8&amp;":"</f>
        <v>Venue:</v>
      </c>
      <c r="I4" s="6" t="str">
        <f>$B$8</f>
        <v>Olympos</v>
      </c>
      <c r="J4" s="10"/>
      <c r="K4" s="10"/>
      <c r="L4" s="10"/>
      <c r="M4" s="10"/>
      <c r="N4" s="10"/>
      <c r="O4" s="10"/>
      <c r="P4" s="10"/>
      <c r="Q4" s="10"/>
    </row>
    <row r="5" spans="2:17" ht="12.75">
      <c r="B5" s="18" t="s">
        <v>67</v>
      </c>
      <c r="C5" s="263"/>
      <c r="D5" s="264"/>
      <c r="E5" s="264"/>
      <c r="F5" s="265"/>
      <c r="G5" s="10"/>
      <c r="H5" s="19" t="str">
        <f>$A$9&amp;":"</f>
        <v>Court:</v>
      </c>
      <c r="I5" s="20">
        <f>$B$9</f>
        <v>3</v>
      </c>
      <c r="J5" s="10"/>
      <c r="K5" s="10"/>
      <c r="L5" s="10"/>
      <c r="M5" s="10"/>
      <c r="N5" s="10"/>
      <c r="O5" s="10"/>
      <c r="P5" s="10"/>
      <c r="Q5" s="10"/>
    </row>
    <row r="6" spans="1:17" ht="12.75">
      <c r="A6" s="18" t="s">
        <v>101</v>
      </c>
      <c r="B6" s="18" t="s">
        <v>92</v>
      </c>
      <c r="C6" s="263"/>
      <c r="D6" s="264"/>
      <c r="E6" s="264"/>
      <c r="F6" s="265"/>
      <c r="G6" s="21"/>
      <c r="H6" s="19" t="str">
        <f>$A$10&amp;":"</f>
        <v>Time:</v>
      </c>
      <c r="I6" s="22">
        <f>$B$10</f>
        <v>0.375</v>
      </c>
      <c r="J6" s="10"/>
      <c r="K6" s="10"/>
      <c r="L6" s="10"/>
      <c r="M6" s="10"/>
      <c r="N6" s="21"/>
      <c r="O6" s="10"/>
      <c r="P6" s="23"/>
      <c r="Q6" s="23"/>
    </row>
    <row r="7" spans="1:17" ht="12.75">
      <c r="A7" s="18"/>
      <c r="B7" s="18"/>
      <c r="C7" s="266" t="str">
        <f>$B$40&amp;" - "&amp;$B$40+3&amp;" ranking"</f>
        <v>9 - 12 ranking</v>
      </c>
      <c r="D7" s="267"/>
      <c r="E7" s="267"/>
      <c r="F7" s="268"/>
      <c r="G7" s="140"/>
      <c r="H7" s="25" t="str">
        <f>"Each match consists of 2 sets of at most "&amp;$B$13&amp;" points."</f>
        <v>Each match consists of 2 sets of at most 20 points.</v>
      </c>
      <c r="I7" s="6"/>
      <c r="J7" s="10"/>
      <c r="K7" s="10"/>
      <c r="L7" s="10"/>
      <c r="M7" s="10"/>
      <c r="N7" s="10"/>
      <c r="O7" s="10"/>
      <c r="P7" s="10"/>
      <c r="Q7" s="10"/>
    </row>
    <row r="8" spans="1:17" ht="12.75" customHeight="1" thickBot="1">
      <c r="A8" s="18" t="s">
        <v>14</v>
      </c>
      <c r="B8" s="26" t="s">
        <v>15</v>
      </c>
      <c r="C8" s="269"/>
      <c r="D8" s="270"/>
      <c r="E8" s="270"/>
      <c r="F8" s="271"/>
      <c r="G8" s="141"/>
      <c r="H8" s="27" t="str">
        <f>"Playing time per match is limited to "&amp;$B$12&amp;" minutes."</f>
        <v>Playing time per match is limited to 35 minutes.</v>
      </c>
      <c r="I8" s="15"/>
      <c r="J8" s="10"/>
      <c r="K8" s="10"/>
      <c r="L8" s="10"/>
      <c r="M8" s="10"/>
      <c r="N8" s="10"/>
      <c r="O8" s="23"/>
      <c r="P8" s="10"/>
      <c r="Q8" s="10"/>
    </row>
    <row r="9" spans="1:17" ht="12.75" customHeight="1">
      <c r="A9" s="18" t="s">
        <v>17</v>
      </c>
      <c r="B9" s="26">
        <v>3</v>
      </c>
      <c r="C9" s="28"/>
      <c r="D9" s="28"/>
      <c r="E9" s="28"/>
      <c r="F9" s="28"/>
      <c r="J9" s="10"/>
      <c r="K9" s="10"/>
      <c r="L9" s="10"/>
      <c r="M9" s="10"/>
      <c r="N9" s="10"/>
      <c r="O9" s="10"/>
      <c r="P9" s="10"/>
      <c r="Q9" s="10"/>
    </row>
    <row r="10" spans="1:39" ht="12.75">
      <c r="A10" s="18" t="s">
        <v>18</v>
      </c>
      <c r="B10" s="29">
        <v>0.375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21" ht="12.75">
      <c r="A11" t="s">
        <v>19</v>
      </c>
      <c r="B11" s="26">
        <v>1</v>
      </c>
      <c r="C11" s="272" t="str">
        <f>$A$6&amp;" "&amp;$B$6</f>
        <v>Group BB</v>
      </c>
      <c r="D11" s="273"/>
      <c r="E11" s="273"/>
      <c r="F11" s="274"/>
      <c r="G11" s="32"/>
      <c r="H11" s="5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12.75">
      <c r="A12" t="s">
        <v>26</v>
      </c>
      <c r="B12" s="26">
        <v>35</v>
      </c>
      <c r="C12" s="275"/>
      <c r="D12" s="276"/>
      <c r="E12" s="276"/>
      <c r="F12" s="277"/>
      <c r="G12" s="37" t="s">
        <v>27</v>
      </c>
      <c r="H12" s="38" t="s">
        <v>28</v>
      </c>
      <c r="I12" s="39" t="s">
        <v>29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1:21" ht="12.75">
      <c r="A13" t="s">
        <v>35</v>
      </c>
      <c r="B13" s="52">
        <f>(B12+5)/2</f>
        <v>20</v>
      </c>
      <c r="C13" s="32"/>
      <c r="D13" s="5"/>
      <c r="E13" s="5"/>
      <c r="F13" s="46"/>
      <c r="G13" s="32" t="s">
        <v>126</v>
      </c>
      <c r="H13" s="5" t="s">
        <v>127</v>
      </c>
      <c r="I13" s="6" t="s">
        <v>123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2.75">
      <c r="B14" s="3" t="s">
        <v>37</v>
      </c>
      <c r="C14" s="40"/>
      <c r="D14" s="10"/>
      <c r="E14" s="10"/>
      <c r="F14" s="50"/>
      <c r="G14" s="40" t="s">
        <v>128</v>
      </c>
      <c r="H14" s="10" t="s">
        <v>129</v>
      </c>
      <c r="I14" s="11" t="s">
        <v>130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2.75">
      <c r="B15" s="3" t="s">
        <v>38</v>
      </c>
      <c r="C15" s="40"/>
      <c r="D15" s="10"/>
      <c r="E15" s="10"/>
      <c r="F15" s="50"/>
      <c r="G15" s="40" t="s">
        <v>249</v>
      </c>
      <c r="H15" s="10" t="s">
        <v>250</v>
      </c>
      <c r="I15" s="11" t="s">
        <v>120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2.75">
      <c r="B16" s="3"/>
      <c r="C16" s="57"/>
      <c r="D16" s="14"/>
      <c r="E16" s="14"/>
      <c r="F16" s="39"/>
      <c r="G16" s="57" t="s">
        <v>258</v>
      </c>
      <c r="H16" s="14" t="s">
        <v>259</v>
      </c>
      <c r="I16" s="15" t="s">
        <v>123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3:39" s="65" customFormat="1" ht="12.75">
      <c r="C17" s="19"/>
      <c r="D17" s="66"/>
      <c r="E17" s="66"/>
      <c r="F17" s="67"/>
      <c r="G17" s="68"/>
      <c r="H17" s="66"/>
      <c r="I17" s="66"/>
      <c r="J17" s="69"/>
      <c r="K17" s="69"/>
      <c r="L17" s="69"/>
      <c r="M17" s="69"/>
      <c r="N17" s="69"/>
      <c r="O17" s="69"/>
      <c r="P17" s="69"/>
      <c r="Q17" s="19"/>
      <c r="AA17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3:39" s="65" customFormat="1" ht="12.75">
      <c r="C18" s="19"/>
      <c r="D18" s="66"/>
      <c r="E18" s="66"/>
      <c r="F18" s="67"/>
      <c r="G18" s="68"/>
      <c r="H18" s="66"/>
      <c r="I18" s="66"/>
      <c r="J18" s="69"/>
      <c r="K18" s="69"/>
      <c r="L18" s="69"/>
      <c r="M18" s="69"/>
      <c r="N18" s="69"/>
      <c r="O18" s="69"/>
      <c r="P18" s="69"/>
      <c r="Q18" s="1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3:35" ht="12.75">
      <c r="C19" s="32"/>
      <c r="D19" s="5"/>
      <c r="E19" s="5"/>
      <c r="F19" s="5"/>
      <c r="G19" s="5"/>
      <c r="H19" s="5"/>
      <c r="I19" s="6"/>
      <c r="J19" s="249" t="s">
        <v>39</v>
      </c>
      <c r="K19" s="250"/>
      <c r="L19" s="249" t="s">
        <v>40</v>
      </c>
      <c r="M19" s="250"/>
      <c r="N19" s="249" t="s">
        <v>78</v>
      </c>
      <c r="O19" s="250"/>
      <c r="P19" s="249" t="s">
        <v>31</v>
      </c>
      <c r="Q19" s="250"/>
      <c r="R19" s="32"/>
      <c r="S19" s="6"/>
      <c r="T19" s="249" t="s">
        <v>39</v>
      </c>
      <c r="U19" s="250"/>
      <c r="V19" s="249" t="s">
        <v>40</v>
      </c>
      <c r="W19" s="250"/>
      <c r="X19" s="249" t="s">
        <v>24</v>
      </c>
      <c r="Y19" s="250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3:25" ht="12.75">
      <c r="C20" s="73" t="s">
        <v>18</v>
      </c>
      <c r="D20" s="74" t="s">
        <v>43</v>
      </c>
      <c r="E20" s="74" t="s">
        <v>17</v>
      </c>
      <c r="F20" s="75" t="s">
        <v>44</v>
      </c>
      <c r="G20" s="76" t="s">
        <v>45</v>
      </c>
      <c r="H20" s="77" t="s">
        <v>46</v>
      </c>
      <c r="I20" s="78" t="s">
        <v>47</v>
      </c>
      <c r="J20" s="79" t="s">
        <v>48</v>
      </c>
      <c r="K20" s="80" t="s">
        <v>49</v>
      </c>
      <c r="L20" s="79" t="s">
        <v>48</v>
      </c>
      <c r="M20" s="80" t="s">
        <v>49</v>
      </c>
      <c r="N20" s="79" t="s">
        <v>48</v>
      </c>
      <c r="O20" s="80" t="s">
        <v>49</v>
      </c>
      <c r="P20" s="81" t="s">
        <v>48</v>
      </c>
      <c r="Q20" s="82" t="s">
        <v>49</v>
      </c>
      <c r="R20" s="57" t="s">
        <v>79</v>
      </c>
      <c r="S20" s="15" t="s">
        <v>80</v>
      </c>
      <c r="T20" s="79" t="s">
        <v>48</v>
      </c>
      <c r="U20" s="80" t="s">
        <v>49</v>
      </c>
      <c r="V20" s="79" t="s">
        <v>48</v>
      </c>
      <c r="W20" s="80" t="s">
        <v>49</v>
      </c>
      <c r="X20" s="79" t="s">
        <v>48</v>
      </c>
      <c r="Y20" s="80" t="s">
        <v>49</v>
      </c>
    </row>
    <row r="21" spans="3:25" ht="12.75">
      <c r="C21" s="71"/>
      <c r="D21" s="25"/>
      <c r="E21" s="25"/>
      <c r="F21" s="25"/>
      <c r="G21" s="5"/>
      <c r="H21" s="5"/>
      <c r="I21" s="6"/>
      <c r="J21" s="71"/>
      <c r="K21" s="72"/>
      <c r="L21" s="71"/>
      <c r="M21" s="72"/>
      <c r="N21" s="83"/>
      <c r="O21" s="17"/>
      <c r="P21" s="71"/>
      <c r="Q21" s="72"/>
      <c r="R21" s="32"/>
      <c r="S21" s="6"/>
      <c r="T21" s="32"/>
      <c r="U21" s="6"/>
      <c r="V21" s="32"/>
      <c r="W21" s="6"/>
      <c r="X21" s="40"/>
      <c r="Y21" s="11"/>
    </row>
    <row r="22" spans="3:25" ht="12.75">
      <c r="C22" s="84">
        <f>$B$10+(D22-$B$11)*($B$12/60/24+TIME(0,5,0))</f>
        <v>0.375</v>
      </c>
      <c r="D22" s="85">
        <f>$B$11</f>
        <v>1</v>
      </c>
      <c r="E22" s="85">
        <f>$B$9</f>
        <v>3</v>
      </c>
      <c r="F22" s="85">
        <f>$E22+$D22*100</f>
        <v>103</v>
      </c>
      <c r="G22" s="86" t="str">
        <f>G13</f>
        <v>Leinebagger</v>
      </c>
      <c r="H22" s="86" t="str">
        <f>G16</f>
        <v>Bavaria Rosé</v>
      </c>
      <c r="I22" s="87" t="str">
        <f>G15</f>
        <v>Los Machos</v>
      </c>
      <c r="J22" s="88"/>
      <c r="K22" s="87"/>
      <c r="L22" s="88"/>
      <c r="M22" s="87"/>
      <c r="N22" s="188">
        <f>SUM(J22,L22)</f>
        <v>0</v>
      </c>
      <c r="O22" s="189">
        <f>SUM(K22,M22)</f>
        <v>0</v>
      </c>
      <c r="P22" s="190">
        <f>SUM(T22,V22)</f>
        <v>2</v>
      </c>
      <c r="Q22" s="191">
        <f>SUM(U22,W22)</f>
        <v>2</v>
      </c>
      <c r="R22" s="40" t="str">
        <f>IF(P22&gt;Q22,G22,IF(P22&lt;Q22,H22,IF(N22&gt;O22,G22,IF(N22&lt;O22,H22,IF(X22&gt;Y22,G22,IF(X22&lt;Y22,H22,"W"&amp;F22&amp;" (no. 1 - 2)"))))))</f>
        <v>W103 (no. 1 - 2)</v>
      </c>
      <c r="S22" s="11" t="str">
        <f>IF(P22&gt;Q22,H22,IF(P22&lt;Q22,G22,IF(N22&gt;O22,H22,IF(N22&lt;O22,G22,IF(X22&gt;Y22,H22,IF(X22&lt;Y22,G22,"L"&amp;F22&amp;" (no. 3 - 4)"))))))</f>
        <v>L103 (no. 3 - 4)</v>
      </c>
      <c r="T22" s="51">
        <f>IF(J22&gt;K22,2,IF(J22=K22,1,0))</f>
        <v>1</v>
      </c>
      <c r="U22" s="53">
        <f>IF(K22&gt;J22,2,IF(K22=J22,1,0))</f>
        <v>1</v>
      </c>
      <c r="V22" s="51">
        <f>IF(L22&gt;M22,2,IF(L22=M22,1,0))</f>
        <v>1</v>
      </c>
      <c r="W22" s="53">
        <f>IF(M22&gt;L22,2,IF(M22=L22,1,0))</f>
        <v>1</v>
      </c>
      <c r="X22" s="40"/>
      <c r="Y22" s="11"/>
    </row>
    <row r="23" spans="2:25" ht="12.75">
      <c r="B23" s="31"/>
      <c r="C23" s="84"/>
      <c r="D23" s="85"/>
      <c r="E23" s="85"/>
      <c r="F23" s="85"/>
      <c r="G23" s="30"/>
      <c r="H23" s="30"/>
      <c r="I23" s="87"/>
      <c r="J23" s="92"/>
      <c r="K23" s="93"/>
      <c r="L23" s="92"/>
      <c r="M23" s="93"/>
      <c r="N23" s="188"/>
      <c r="O23" s="189"/>
      <c r="P23" s="190"/>
      <c r="Q23" s="191"/>
      <c r="R23" s="40"/>
      <c r="S23" s="11"/>
      <c r="T23" s="51"/>
      <c r="U23" s="53"/>
      <c r="V23" s="51"/>
      <c r="W23" s="53"/>
      <c r="X23" s="40"/>
      <c r="Y23" s="11"/>
    </row>
    <row r="24" spans="2:25" ht="12.75">
      <c r="B24" s="31"/>
      <c r="C24" s="84">
        <f>$B$10+(D24-$B$11)*($B$12/60/24+TIME(0,5,0))</f>
        <v>0.4027777777777778</v>
      </c>
      <c r="D24" s="145">
        <f>$B$11+1</f>
        <v>2</v>
      </c>
      <c r="E24" s="85">
        <f>$B$9</f>
        <v>3</v>
      </c>
      <c r="F24" s="85">
        <f>$E24+$D24*100</f>
        <v>203</v>
      </c>
      <c r="G24" s="30" t="str">
        <f>G15</f>
        <v>Los Machos</v>
      </c>
      <c r="H24" s="30" t="str">
        <f>G14</f>
        <v>The Best Pratety</v>
      </c>
      <c r="I24" s="87" t="str">
        <f>G13</f>
        <v>Leinebagger</v>
      </c>
      <c r="J24" s="92"/>
      <c r="K24" s="93"/>
      <c r="L24" s="92"/>
      <c r="M24" s="93"/>
      <c r="N24" s="188">
        <f>SUM(J24,L24)</f>
        <v>0</v>
      </c>
      <c r="O24" s="189">
        <f>SUM(K24,M24)</f>
        <v>0</v>
      </c>
      <c r="P24" s="190">
        <f>SUM(T24,V24)</f>
        <v>2</v>
      </c>
      <c r="Q24" s="191">
        <f>SUM(U24,W24)</f>
        <v>2</v>
      </c>
      <c r="R24" s="40" t="str">
        <f>IF(P24&gt;Q24,G24,IF(P24&lt;Q24,H24,IF(N24&gt;O24,G24,IF(N24&lt;O24,H24,IF(X24&gt;Y24,G24,IF(X24&lt;Y24,H24,"W"&amp;F24&amp;" (no. 1 - 2)"))))))</f>
        <v>W203 (no. 1 - 2)</v>
      </c>
      <c r="S24" s="11" t="str">
        <f>IF(P24&gt;Q24,H24,IF(P24&lt;Q24,G24,IF(N24&gt;O24,H24,IF(N24&lt;O24,G24,IF(X24&gt;Y24,H24,IF(X24&lt;Y24,G24,"L"&amp;F24&amp;" (no. 3 - 4)"))))))</f>
        <v>L203 (no. 3 - 4)</v>
      </c>
      <c r="T24" s="51">
        <f>IF(J24&gt;K24,2,IF(J24=K24,1,0))</f>
        <v>1</v>
      </c>
      <c r="U24" s="53">
        <f>IF(K24&gt;J24,2,IF(K24=J24,1,0))</f>
        <v>1</v>
      </c>
      <c r="V24" s="51">
        <f>IF(L24&gt;M24,2,IF(L24=M24,1,0))</f>
        <v>1</v>
      </c>
      <c r="W24" s="53">
        <f>IF(M24&gt;L24,2,IF(M24=L24,1,0))</f>
        <v>1</v>
      </c>
      <c r="X24" s="40"/>
      <c r="Y24" s="11"/>
    </row>
    <row r="25" spans="2:25" ht="12.75">
      <c r="B25" s="31"/>
      <c r="C25" s="84"/>
      <c r="D25" s="85"/>
      <c r="E25" s="85"/>
      <c r="F25" s="85"/>
      <c r="G25" s="30"/>
      <c r="H25" s="30"/>
      <c r="I25" s="87"/>
      <c r="J25" s="92"/>
      <c r="K25" s="93"/>
      <c r="L25" s="92"/>
      <c r="M25" s="93"/>
      <c r="N25" s="169"/>
      <c r="O25" s="85"/>
      <c r="P25" s="99"/>
      <c r="Q25" s="100"/>
      <c r="R25" s="57"/>
      <c r="S25" s="15"/>
      <c r="T25" s="99"/>
      <c r="U25" s="100"/>
      <c r="V25" s="99"/>
      <c r="W25" s="100"/>
      <c r="X25" s="57"/>
      <c r="Y25" s="15"/>
    </row>
    <row r="26" spans="3:25" ht="12.75">
      <c r="C26" s="71"/>
      <c r="D26" s="25"/>
      <c r="E26" s="25"/>
      <c r="F26" s="25"/>
      <c r="G26" s="5"/>
      <c r="H26" s="5"/>
      <c r="I26" s="6"/>
      <c r="J26" s="71"/>
      <c r="K26" s="72"/>
      <c r="L26" s="71"/>
      <c r="M26" s="72"/>
      <c r="N26" s="71"/>
      <c r="O26" s="25"/>
      <c r="P26" s="71"/>
      <c r="Q26" s="72"/>
      <c r="R26" s="32"/>
      <c r="S26" s="6"/>
      <c r="T26" s="32"/>
      <c r="U26" s="6"/>
      <c r="V26" s="32"/>
      <c r="W26" s="6"/>
      <c r="X26" s="32"/>
      <c r="Y26" s="6"/>
    </row>
    <row r="27" spans="1:25" ht="12.75">
      <c r="A27" s="147"/>
      <c r="B27" s="143"/>
      <c r="C27" s="84">
        <f>$B$10+(D27-$B$11)*($B$12/60/24+TIME(0,5,0))</f>
        <v>0.4305555555555556</v>
      </c>
      <c r="D27" s="85">
        <f>$B$11+2</f>
        <v>3</v>
      </c>
      <c r="E27" s="85">
        <f>$B$9</f>
        <v>3</v>
      </c>
      <c r="F27" s="85">
        <f>$E27+$D27*100</f>
        <v>303</v>
      </c>
      <c r="G27" s="148" t="str">
        <f>S24</f>
        <v>L203 (no. 3 - 4)</v>
      </c>
      <c r="H27" s="148" t="str">
        <f>S22</f>
        <v>L103 (no. 3 - 4)</v>
      </c>
      <c r="I27" s="149" t="str">
        <f>R22</f>
        <v>W103 (no. 1 - 2)</v>
      </c>
      <c r="J27" s="88"/>
      <c r="K27" s="87"/>
      <c r="L27" s="88"/>
      <c r="M27" s="87"/>
      <c r="N27" s="188">
        <f>SUM(J27,L27)</f>
        <v>0</v>
      </c>
      <c r="O27" s="189">
        <f>SUM(K27,M27)</f>
        <v>0</v>
      </c>
      <c r="P27" s="190">
        <f>SUM(T27,V27)</f>
        <v>2</v>
      </c>
      <c r="Q27" s="191">
        <f>SUM(U27,W27)</f>
        <v>2</v>
      </c>
      <c r="R27" s="40" t="str">
        <f>IF(P27&gt;Q27,G27,IF(P27&lt;Q27,H27,IF(N27&gt;O27,G27,IF(N27&lt;O27,H27,IF(X27&gt;Y27,G27,IF(X27&lt;Y27,H27,"W"&amp;F27&amp;" (no. 3)"))))))</f>
        <v>W303 (no. 3)</v>
      </c>
      <c r="S27" s="11" t="str">
        <f>IF(P27&gt;Q27,H27,IF(P27&lt;Q27,G27,IF(N27&gt;O27,H27,IF(N27&lt;O27,G27,IF(X27&gt;Y27,H27,IF(X27&lt;Y27,G27,"L"&amp;F27&amp;" (no. 4)"))))))</f>
        <v>L303 (no. 4)</v>
      </c>
      <c r="T27" s="51">
        <f>IF(J27&gt;K27,2,IF(J27=K27,1,0))</f>
        <v>1</v>
      </c>
      <c r="U27" s="53">
        <f>IF(K27&gt;J27,2,IF(K27=J27,1,0))</f>
        <v>1</v>
      </c>
      <c r="V27" s="51">
        <f>IF(L27&gt;M27,2,IF(L27=M27,1,0))</f>
        <v>1</v>
      </c>
      <c r="W27" s="53">
        <f>IF(M27&gt;L27,2,IF(M27=L27,1,0))</f>
        <v>1</v>
      </c>
      <c r="X27" s="40"/>
      <c r="Y27" s="11"/>
    </row>
    <row r="28" spans="1:25" ht="24.75" customHeight="1">
      <c r="A28" s="147"/>
      <c r="B28" s="143"/>
      <c r="C28" s="84"/>
      <c r="D28" s="85"/>
      <c r="E28" s="159"/>
      <c r="F28" s="159"/>
      <c r="G28" s="237"/>
      <c r="H28" s="237"/>
      <c r="I28" s="238"/>
      <c r="J28" s="88"/>
      <c r="K28" s="87"/>
      <c r="L28" s="88"/>
      <c r="M28" s="87"/>
      <c r="N28" s="188"/>
      <c r="O28" s="189"/>
      <c r="P28" s="190"/>
      <c r="Q28" s="191"/>
      <c r="R28" s="40"/>
      <c r="S28" s="11"/>
      <c r="T28" s="51"/>
      <c r="U28" s="53"/>
      <c r="V28" s="51"/>
      <c r="W28" s="53"/>
      <c r="X28" s="40"/>
      <c r="Y28" s="11"/>
    </row>
    <row r="29" spans="1:25" ht="12.75">
      <c r="A29" s="143"/>
      <c r="B29" s="142"/>
      <c r="C29" s="84"/>
      <c r="D29" s="145"/>
      <c r="E29" s="152"/>
      <c r="F29" s="145"/>
      <c r="G29" s="150"/>
      <c r="H29" s="150"/>
      <c r="I29" s="151"/>
      <c r="J29" s="92"/>
      <c r="K29" s="93"/>
      <c r="L29" s="92"/>
      <c r="M29" s="93"/>
      <c r="N29" s="188"/>
      <c r="O29" s="189"/>
      <c r="P29" s="190"/>
      <c r="Q29" s="191"/>
      <c r="R29" s="40"/>
      <c r="S29" s="11"/>
      <c r="T29" s="51"/>
      <c r="U29" s="53"/>
      <c r="V29" s="51"/>
      <c r="W29" s="53"/>
      <c r="X29" s="40"/>
      <c r="Y29" s="11"/>
    </row>
    <row r="30" spans="1:25" ht="12.75">
      <c r="A30" s="143"/>
      <c r="B30" s="142"/>
      <c r="C30" s="84">
        <f>$B$10+(D30-$B$11)*($B$12/60/24+TIME(0,5,0))</f>
        <v>0.4583333333333333</v>
      </c>
      <c r="D30" s="85">
        <f>$B$11+3</f>
        <v>4</v>
      </c>
      <c r="E30" s="85">
        <f>$B$9</f>
        <v>3</v>
      </c>
      <c r="F30" s="85">
        <f>$E30+$D30*100</f>
        <v>403</v>
      </c>
      <c r="G30" s="144" t="str">
        <f>R22</f>
        <v>W103 (no. 1 - 2)</v>
      </c>
      <c r="H30" s="144" t="str">
        <f>R24</f>
        <v>W203 (no. 1 - 2)</v>
      </c>
      <c r="I30" s="151" t="str">
        <f>S24</f>
        <v>L203 (no. 3 - 4)</v>
      </c>
      <c r="J30" s="92"/>
      <c r="K30" s="93"/>
      <c r="L30" s="92"/>
      <c r="M30" s="93"/>
      <c r="N30" s="188">
        <f>SUM(J30,L30)</f>
        <v>0</v>
      </c>
      <c r="O30" s="189">
        <f>SUM(K30,M30)</f>
        <v>0</v>
      </c>
      <c r="P30" s="190">
        <f>SUM(T30,V30)</f>
        <v>2</v>
      </c>
      <c r="Q30" s="191">
        <f>SUM(U30,W30)</f>
        <v>2</v>
      </c>
      <c r="R30" s="40" t="str">
        <f>IF(P30&gt;Q30,G30,IF(P30&lt;Q30,H30,IF(N30&gt;O30,G30,IF(N30&lt;O30,H30,IF(X30&gt;Y30,G30,IF(X30&lt;Y30,H30,"W"&amp;F30&amp;" (no. 1)"))))))</f>
        <v>W403 (no. 1)</v>
      </c>
      <c r="S30" s="11" t="str">
        <f>IF(P30&gt;Q30,H30,IF(P30&lt;Q30,G30,IF(N30&gt;O30,H30,IF(N30&lt;O30,G30,IF(X30&gt;Y30,H30,IF(X30&lt;Y30,G30,"L"&amp;F30&amp;" (no. 2)"))))))</f>
        <v>L403 (no. 2)</v>
      </c>
      <c r="T30" s="51">
        <f>IF(J30&gt;K30,2,IF(J30=K30,1,0))</f>
        <v>1</v>
      </c>
      <c r="U30" s="53">
        <f>IF(K30&gt;J30,2,IF(K30=J30,1,0))</f>
        <v>1</v>
      </c>
      <c r="V30" s="51">
        <f>IF(L30&gt;M30,2,IF(L30=M30,1,0))</f>
        <v>1</v>
      </c>
      <c r="W30" s="53">
        <f>IF(M30&gt;L30,2,IF(M30=L30,1,0))</f>
        <v>1</v>
      </c>
      <c r="X30" s="40"/>
      <c r="Y30" s="11"/>
    </row>
    <row r="31" spans="1:25" ht="24.75" customHeight="1">
      <c r="A31" s="143"/>
      <c r="B31" s="142"/>
      <c r="C31" s="84"/>
      <c r="D31" s="85"/>
      <c r="E31" s="159"/>
      <c r="F31" s="159"/>
      <c r="G31" s="235"/>
      <c r="H31" s="235"/>
      <c r="I31" s="236"/>
      <c r="J31" s="92"/>
      <c r="K31" s="93"/>
      <c r="L31" s="92"/>
      <c r="M31" s="93"/>
      <c r="N31" s="188"/>
      <c r="O31" s="189"/>
      <c r="P31" s="190"/>
      <c r="Q31" s="191"/>
      <c r="R31" s="40"/>
      <c r="S31" s="11"/>
      <c r="T31" s="51"/>
      <c r="U31" s="53"/>
      <c r="V31" s="51"/>
      <c r="W31" s="53"/>
      <c r="X31" s="40"/>
      <c r="Y31" s="11"/>
    </row>
    <row r="32" spans="3:25" ht="12.75">
      <c r="C32" s="84"/>
      <c r="D32" s="85"/>
      <c r="E32" s="85"/>
      <c r="F32" s="85"/>
      <c r="G32" s="86"/>
      <c r="H32" s="86"/>
      <c r="I32" s="87"/>
      <c r="J32" s="88"/>
      <c r="K32" s="87"/>
      <c r="L32" s="88"/>
      <c r="M32" s="87"/>
      <c r="N32" s="89"/>
      <c r="O32" s="90"/>
      <c r="P32" s="99"/>
      <c r="Q32" s="100"/>
      <c r="R32" s="40"/>
      <c r="S32" s="11"/>
      <c r="T32" s="51"/>
      <c r="U32" s="53"/>
      <c r="V32" s="51"/>
      <c r="W32" s="53"/>
      <c r="X32" s="40"/>
      <c r="Y32" s="11"/>
    </row>
    <row r="33" spans="3:25" ht="12.75" customHeight="1">
      <c r="C33" s="84">
        <f>$B$10+(D33-$B$11)*($B$12/60/24+TIME(0,5,0))</f>
        <v>0.4861111111111111</v>
      </c>
      <c r="D33" s="201">
        <f>$B$11+4</f>
        <v>5</v>
      </c>
      <c r="E33" s="102" t="s">
        <v>51</v>
      </c>
      <c r="F33" s="258" t="s">
        <v>98</v>
      </c>
      <c r="G33" s="258"/>
      <c r="H33" s="258"/>
      <c r="I33" s="259"/>
      <c r="J33" s="88"/>
      <c r="K33" s="87"/>
      <c r="L33" s="88"/>
      <c r="M33" s="87"/>
      <c r="N33" s="89"/>
      <c r="O33" s="90"/>
      <c r="P33" s="99"/>
      <c r="Q33" s="100"/>
      <c r="R33" s="40"/>
      <c r="S33" s="11"/>
      <c r="T33" s="51"/>
      <c r="U33" s="53"/>
      <c r="V33" s="51"/>
      <c r="W33" s="53"/>
      <c r="X33" s="40"/>
      <c r="Y33" s="11"/>
    </row>
    <row r="34" spans="3:25" ht="12.75" customHeight="1">
      <c r="C34" s="84"/>
      <c r="D34" s="85"/>
      <c r="E34" s="102"/>
      <c r="F34" s="258" t="s">
        <v>97</v>
      </c>
      <c r="G34" s="258"/>
      <c r="H34" s="258"/>
      <c r="I34" s="259"/>
      <c r="J34" s="88"/>
      <c r="K34" s="87"/>
      <c r="L34" s="88"/>
      <c r="M34" s="87"/>
      <c r="N34" s="89"/>
      <c r="O34" s="90"/>
      <c r="P34" s="99"/>
      <c r="Q34" s="100"/>
      <c r="R34" s="40"/>
      <c r="S34" s="11"/>
      <c r="T34" s="51"/>
      <c r="U34" s="53"/>
      <c r="V34" s="51"/>
      <c r="W34" s="53"/>
      <c r="X34" s="40"/>
      <c r="Y34" s="11"/>
    </row>
    <row r="35" spans="2:25" ht="12.75">
      <c r="B35" s="31"/>
      <c r="C35" s="158"/>
      <c r="D35" s="159"/>
      <c r="E35" s="159"/>
      <c r="F35" s="159"/>
      <c r="G35" s="160"/>
      <c r="H35" s="160"/>
      <c r="I35" s="161"/>
      <c r="J35" s="162"/>
      <c r="K35" s="163"/>
      <c r="L35" s="162"/>
      <c r="M35" s="163"/>
      <c r="N35" s="164"/>
      <c r="O35" s="165"/>
      <c r="P35" s="166"/>
      <c r="Q35" s="167"/>
      <c r="R35" s="57"/>
      <c r="S35" s="15"/>
      <c r="T35" s="166"/>
      <c r="U35" s="167"/>
      <c r="V35" s="166"/>
      <c r="W35" s="167"/>
      <c r="X35" s="57"/>
      <c r="Y35" s="15"/>
    </row>
    <row r="36" spans="2:17" ht="12.75">
      <c r="B36" s="31"/>
      <c r="C36" s="105"/>
      <c r="D36" s="8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ht="12.75">
      <c r="B37" s="31"/>
    </row>
    <row r="38" spans="2:9" ht="12.75" customHeight="1">
      <c r="B38" s="31"/>
      <c r="C38" s="252" t="str">
        <f>$B$4&amp;" "&amp;$B$5</f>
        <v>Men B</v>
      </c>
      <c r="D38" s="253"/>
      <c r="E38" s="254"/>
      <c r="F38" s="32"/>
      <c r="G38" s="5"/>
      <c r="H38" s="5"/>
      <c r="I38" s="6"/>
    </row>
    <row r="39" spans="2:9" ht="12.75" customHeight="1">
      <c r="B39" s="31" t="s">
        <v>87</v>
      </c>
      <c r="C39" s="255"/>
      <c r="D39" s="256"/>
      <c r="E39" s="257"/>
      <c r="F39" s="97" t="s">
        <v>32</v>
      </c>
      <c r="G39" s="10" t="str">
        <f>$G$12</f>
        <v>Team</v>
      </c>
      <c r="H39" s="10" t="str">
        <f>$H$12</f>
        <v>City</v>
      </c>
      <c r="I39" s="11" t="str">
        <f>$I$12</f>
        <v>Country</v>
      </c>
    </row>
    <row r="40" spans="2:9" ht="12.75">
      <c r="B40" s="146">
        <v>9</v>
      </c>
      <c r="C40" s="32"/>
      <c r="D40" s="25"/>
      <c r="E40" s="136">
        <f>$B$40</f>
        <v>9</v>
      </c>
      <c r="F40" s="71" t="str">
        <f>$B$6&amp;E40-$B$40+1</f>
        <v>BB1</v>
      </c>
      <c r="G40" s="5" t="str">
        <f>R30</f>
        <v>W403 (no. 1)</v>
      </c>
      <c r="H40" s="5" t="e">
        <f>VLOOKUP(G40,$G$13:$I$16,2,FALSE)</f>
        <v>#N/A</v>
      </c>
      <c r="I40" s="6" t="e">
        <f>VLOOKUP(G40,$G$13:$I$16,3,FALSE)</f>
        <v>#N/A</v>
      </c>
    </row>
    <row r="41" spans="2:9" ht="12.75">
      <c r="B41" s="31"/>
      <c r="C41" s="40"/>
      <c r="D41" s="41"/>
      <c r="E41" s="137">
        <f>E40+1</f>
        <v>10</v>
      </c>
      <c r="F41" s="97" t="str">
        <f>$B$6&amp;E41-$B$40+1</f>
        <v>BB2</v>
      </c>
      <c r="G41" s="10" t="str">
        <f>S30</f>
        <v>L403 (no. 2)</v>
      </c>
      <c r="H41" s="10" t="e">
        <f>VLOOKUP(G41,$G$13:$I$16,2,FALSE)</f>
        <v>#N/A</v>
      </c>
      <c r="I41" s="11" t="e">
        <f>VLOOKUP(G41,$G$13:$I$16,3,FALSE)</f>
        <v>#N/A</v>
      </c>
    </row>
    <row r="42" spans="2:9" ht="12.75">
      <c r="B42" s="31"/>
      <c r="C42" s="40"/>
      <c r="D42" s="41"/>
      <c r="E42" s="137">
        <f>E41+1</f>
        <v>11</v>
      </c>
      <c r="F42" s="97" t="str">
        <f>$B$6&amp;E42-$B$40+1</f>
        <v>BB3</v>
      </c>
      <c r="G42" s="10" t="str">
        <f>R27</f>
        <v>W303 (no. 3)</v>
      </c>
      <c r="H42" s="10" t="e">
        <f>VLOOKUP(G42,$G$13:$I$16,2,FALSE)</f>
        <v>#N/A</v>
      </c>
      <c r="I42" s="11" t="e">
        <f>VLOOKUP(G42,$G$13:$I$16,3,FALSE)</f>
        <v>#N/A</v>
      </c>
    </row>
    <row r="43" spans="2:9" ht="12.75">
      <c r="B43" s="31"/>
      <c r="C43" s="57"/>
      <c r="D43" s="27"/>
      <c r="E43" s="138">
        <f>E42+1</f>
        <v>12</v>
      </c>
      <c r="F43" s="73" t="str">
        <f>$B$6&amp;E43-$B$40+1</f>
        <v>BB4</v>
      </c>
      <c r="G43" s="14" t="str">
        <f>S27</f>
        <v>L303 (no. 4)</v>
      </c>
      <c r="H43" s="14" t="e">
        <f>VLOOKUP(G43,$G$13:$I$16,2,FALSE)</f>
        <v>#N/A</v>
      </c>
      <c r="I43" s="15" t="e">
        <f>VLOOKUP(G43,$G$13:$I$16,3,FALSE)</f>
        <v>#N/A</v>
      </c>
    </row>
    <row r="44" ht="12.75">
      <c r="B44" s="31"/>
    </row>
  </sheetData>
  <mergeCells count="13">
    <mergeCell ref="C4:F6"/>
    <mergeCell ref="C7:F8"/>
    <mergeCell ref="T19:U19"/>
    <mergeCell ref="V19:W19"/>
    <mergeCell ref="C11:F12"/>
    <mergeCell ref="X19:Y19"/>
    <mergeCell ref="N19:O19"/>
    <mergeCell ref="P19:Q19"/>
    <mergeCell ref="C38:E39"/>
    <mergeCell ref="J19:K19"/>
    <mergeCell ref="L19:M19"/>
    <mergeCell ref="F33:I33"/>
    <mergeCell ref="F34:I34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2" horizontalDpi="600" verticalDpi="600" orientation="portrait" pageOrder="overThenDown" paperSize="9" scale="75" r:id="rId1"/>
  <headerFooter alignWithMargins="0">
    <oddHeader>&amp;L&amp;A&amp;RSaturday, June 18 2005</oddHeader>
    <oddFooter>&amp;L&amp;F&amp;R&amp;P</oddFooter>
  </headerFooter>
  <rowBreaks count="1" manualBreakCount="1">
    <brk id="36" min="2" max="18" man="1"/>
  </rowBreaks>
  <colBreaks count="1" manualBreakCount="1">
    <brk id="17" min="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Besten</dc:creator>
  <cp:keywords/>
  <dc:description/>
  <cp:lastModifiedBy>EG05</cp:lastModifiedBy>
  <cp:lastPrinted>2005-06-17T16:16:16Z</cp:lastPrinted>
  <dcterms:created xsi:type="dcterms:W3CDTF">2005-05-07T15:24:45Z</dcterms:created>
  <dcterms:modified xsi:type="dcterms:W3CDTF">2005-06-17T17:43:20Z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-1247668187</vt:i4>
  </property>
  <property fmtid="{D5CDD505-2E9C-101B-9397-08002B2CF9AE}" pid="3" name="_EmailSubject">
    <vt:lpwstr>EG2005 Schema voor zaterdag - om te printen</vt:lpwstr>
  </property>
  <property fmtid="{D5CDD505-2E9C-101B-9397-08002B2CF9AE}" pid="4" name="_AuthorEmail">
    <vt:lpwstr>kasbru@xs4all.nl</vt:lpwstr>
  </property>
  <property fmtid="{D5CDD505-2E9C-101B-9397-08002B2CF9AE}" pid="5" name="_AuthorEmailDisplayName">
    <vt:lpwstr>kasbru</vt:lpwstr>
  </property>
  <property fmtid="{D5CDD505-2E9C-101B-9397-08002B2CF9AE}" pid="6" name="_ReviewingToolsShownOnce">
    <vt:lpwstr/>
  </property>
</Properties>
</file>